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seanammirati/Desktop/"/>
    </mc:Choice>
  </mc:AlternateContent>
  <xr:revisionPtr revIDLastSave="0" documentId="8_{1D572151-9E71-7549-BF0F-DB6876D50514}" xr6:coauthVersionLast="47" xr6:coauthVersionMax="47" xr10:uidLastSave="{00000000-0000-0000-0000-000000000000}"/>
  <bookViews>
    <workbookView xWindow="0" yWindow="500" windowWidth="28800" windowHeight="16340" xr2:uid="{00000000-000D-0000-FFFF-FFFF00000000}"/>
  </bookViews>
  <sheets>
    <sheet name="Instructions &amp; Input" sheetId="2" r:id="rId1"/>
    <sheet name="Output" sheetId="3" r:id="rId2"/>
  </sheets>
  <definedNames>
    <definedName name="ChartEV">Output!$B$22</definedName>
    <definedName name="HighUnit">'Instructions &amp; Input'!$G$26</definedName>
    <definedName name="HighValue">'Instructions &amp; Input'!$G$28</definedName>
    <definedName name="LowUnit">'Instructions &amp; Input'!$C$26</definedName>
    <definedName name="LowValue">'Instructions &amp; Input'!$C$28</definedName>
    <definedName name="Name">'Instructions &amp; Input'!$C$11</definedName>
    <definedName name="ResidualValue">'Instructions &amp; Input'!#REF!</definedName>
    <definedName name="UnitLabel">'Instructions &amp; Input'!$C$21</definedName>
    <definedName name="UnitLean">'Instructions &amp; Input'!$E$26</definedName>
    <definedName name="ValueLean">'Instructions &amp; Input'!$E$28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3" l="1"/>
  <c r="T27" i="3" l="1"/>
  <c r="T28" i="3"/>
  <c r="T29" i="3"/>
  <c r="T30" i="3"/>
  <c r="T31" i="3"/>
  <c r="T32" i="3"/>
  <c r="T33" i="3"/>
  <c r="T34" i="3"/>
  <c r="S35" i="3" s="1"/>
  <c r="A48" i="3" s="1"/>
  <c r="S27" i="3"/>
  <c r="U27" i="3" s="1"/>
  <c r="S32" i="3" l="1"/>
  <c r="U32" i="3" s="1"/>
  <c r="V31" i="3"/>
  <c r="S31" i="3"/>
  <c r="U31" i="3" s="1"/>
  <c r="V30" i="3"/>
  <c r="S30" i="3"/>
  <c r="U30" i="3" s="1"/>
  <c r="V29" i="3"/>
  <c r="S29" i="3"/>
  <c r="U29" i="3" s="1"/>
  <c r="V28" i="3"/>
  <c r="S28" i="3"/>
  <c r="U28" i="3" s="1"/>
  <c r="V27" i="3"/>
  <c r="B48" i="3"/>
  <c r="S33" i="3"/>
  <c r="U33" i="3" s="1"/>
  <c r="V32" i="3"/>
  <c r="V34" i="3"/>
  <c r="S34" i="3"/>
  <c r="U34" i="3" s="1"/>
  <c r="V33" i="3"/>
  <c r="C39" i="3"/>
  <c r="B39" i="3"/>
  <c r="A39" i="3"/>
  <c r="A45" i="3"/>
  <c r="A44" i="3"/>
  <c r="A43" i="3"/>
  <c r="A42" i="3"/>
  <c r="A41" i="3"/>
  <c r="A46" i="3" l="1"/>
  <c r="A47" i="3"/>
  <c r="A40" i="3"/>
  <c r="B29" i="3"/>
  <c r="B30" i="3"/>
  <c r="B31" i="3"/>
  <c r="B32" i="3"/>
  <c r="B33" i="3"/>
  <c r="B34" i="3"/>
  <c r="B28" i="3"/>
  <c r="B27" i="3"/>
  <c r="B47" i="3" l="1"/>
  <c r="I27" i="3"/>
  <c r="J27" i="3" l="1"/>
  <c r="B9" i="3" l="1"/>
  <c r="B10" i="3"/>
  <c r="D30" i="3" l="1"/>
  <c r="K27" i="3"/>
  <c r="D27" i="3"/>
  <c r="I34" i="3"/>
  <c r="I33" i="3"/>
  <c r="I32" i="3"/>
  <c r="I31" i="3"/>
  <c r="I30" i="3"/>
  <c r="I29" i="3"/>
  <c r="I28" i="3"/>
  <c r="D34" i="3"/>
  <c r="D33" i="3"/>
  <c r="D32" i="3"/>
  <c r="D31" i="3"/>
  <c r="D29" i="3"/>
  <c r="D28" i="3"/>
  <c r="C34" i="3"/>
  <c r="C33" i="3"/>
  <c r="C32" i="3"/>
  <c r="C31" i="3"/>
  <c r="C30" i="3"/>
  <c r="C29" i="3"/>
  <c r="C28" i="3"/>
  <c r="A28" i="3"/>
  <c r="A29" i="3" s="1"/>
  <c r="A30" i="3" s="1"/>
  <c r="A31" i="3" s="1"/>
  <c r="A32" i="3" s="1"/>
  <c r="A33" i="3" s="1"/>
  <c r="A34" i="3" s="1"/>
  <c r="C27" i="3"/>
  <c r="W28" i="3" l="1"/>
  <c r="W29" i="3"/>
  <c r="W31" i="3"/>
  <c r="W30" i="3"/>
  <c r="W33" i="3"/>
  <c r="W34" i="3"/>
  <c r="W32" i="3"/>
  <c r="W27" i="3"/>
  <c r="Q27" i="3"/>
  <c r="R29" i="3"/>
  <c r="B42" i="3" s="1"/>
  <c r="J34" i="3"/>
  <c r="R33" i="3"/>
  <c r="B46" i="3" s="1"/>
  <c r="J31" i="3"/>
  <c r="R30" i="3"/>
  <c r="B43" i="3" s="1"/>
  <c r="R27" i="3"/>
  <c r="B40" i="3" s="1"/>
  <c r="J32" i="3"/>
  <c r="R31" i="3"/>
  <c r="B44" i="3" s="1"/>
  <c r="R28" i="3"/>
  <c r="B41" i="3" s="1"/>
  <c r="R32" i="3"/>
  <c r="B45" i="3" s="1"/>
  <c r="J33" i="3"/>
  <c r="J30" i="3"/>
  <c r="K28" i="3"/>
  <c r="K29" i="3" s="1"/>
  <c r="K30" i="3" s="1"/>
  <c r="J29" i="3"/>
  <c r="J28" i="3"/>
  <c r="D12" i="3"/>
  <c r="D13" i="3" s="1"/>
  <c r="C12" i="3"/>
  <c r="B13" i="3"/>
  <c r="B12" i="3"/>
  <c r="Q28" i="3" l="1"/>
  <c r="E14" i="3"/>
  <c r="K31" i="3"/>
  <c r="C13" i="3"/>
  <c r="B14" i="3"/>
  <c r="F4" i="3"/>
  <c r="F3" i="3"/>
  <c r="A1" i="3"/>
  <c r="A26" i="2"/>
  <c r="A28" i="2"/>
  <c r="Q29" i="3" l="1"/>
  <c r="K32" i="3"/>
  <c r="B22" i="3"/>
  <c r="X30" i="3" l="1"/>
  <c r="X27" i="3"/>
  <c r="Y35" i="3"/>
  <c r="C48" i="3" s="1"/>
  <c r="X33" i="3"/>
  <c r="X29" i="3"/>
  <c r="X31" i="3"/>
  <c r="X32" i="3"/>
  <c r="X28" i="3"/>
  <c r="X34" i="3"/>
  <c r="Y34" i="3"/>
  <c r="C47" i="3" s="1"/>
  <c r="Y27" i="3"/>
  <c r="Y30" i="3"/>
  <c r="C43" i="3" s="1"/>
  <c r="Y28" i="3"/>
  <c r="C41" i="3" s="1"/>
  <c r="Y33" i="3"/>
  <c r="C46" i="3" s="1"/>
  <c r="Y29" i="3"/>
  <c r="C42" i="3" s="1"/>
  <c r="Y31" i="3"/>
  <c r="C44" i="3" s="1"/>
  <c r="Y32" i="3"/>
  <c r="C45" i="3" s="1"/>
  <c r="Q30" i="3"/>
  <c r="L33" i="3"/>
  <c r="M33" i="3" s="1"/>
  <c r="L30" i="3"/>
  <c r="M30" i="3" s="1"/>
  <c r="L34" i="3"/>
  <c r="M34" i="3" s="1"/>
  <c r="L29" i="3"/>
  <c r="M29" i="3" s="1"/>
  <c r="L28" i="3"/>
  <c r="L31" i="3"/>
  <c r="M31" i="3" s="1"/>
  <c r="L27" i="3"/>
  <c r="O27" i="3" s="1"/>
  <c r="P27" i="3" s="1"/>
  <c r="L32" i="3"/>
  <c r="H34" i="3"/>
  <c r="F34" i="3" s="1"/>
  <c r="H33" i="3" s="1"/>
  <c r="K33" i="3"/>
  <c r="C40" i="3" l="1"/>
  <c r="W38" i="3"/>
  <c r="W36" i="3"/>
  <c r="M28" i="3"/>
  <c r="O28" i="3"/>
  <c r="P28" i="3" s="1"/>
  <c r="O29" i="3"/>
  <c r="P29" i="3" s="1"/>
  <c r="Q31" i="3"/>
  <c r="O30" i="3"/>
  <c r="P30" i="3" s="1"/>
  <c r="F33" i="3"/>
  <c r="H32" i="3" s="1"/>
  <c r="F32" i="3" s="1"/>
  <c r="H31" i="3" s="1"/>
  <c r="F31" i="3" s="1"/>
  <c r="H30" i="3" s="1"/>
  <c r="M32" i="3"/>
  <c r="N32" i="3" s="1"/>
  <c r="M27" i="3"/>
  <c r="N27" i="3" s="1"/>
  <c r="N29" i="3"/>
  <c r="N33" i="3"/>
  <c r="N31" i="3"/>
  <c r="N30" i="3"/>
  <c r="N34" i="3"/>
  <c r="K34" i="3"/>
  <c r="Q32" i="3" l="1"/>
  <c r="O31" i="3"/>
  <c r="P31" i="3" s="1"/>
  <c r="H7" i="3"/>
  <c r="J7" i="3" s="1"/>
  <c r="N28" i="3"/>
  <c r="H8" i="3"/>
  <c r="J8" i="3" s="1"/>
  <c r="F30" i="3"/>
  <c r="H29" i="3" s="1"/>
  <c r="F29" i="3" s="1"/>
  <c r="O32" i="3" l="1"/>
  <c r="P32" i="3" s="1"/>
  <c r="Q33" i="3"/>
  <c r="H28" i="3"/>
  <c r="Q34" i="3" l="1"/>
  <c r="O34" i="3" s="1"/>
  <c r="P34" i="3" s="1"/>
  <c r="O33" i="3"/>
  <c r="P33" i="3" s="1"/>
  <c r="F28" i="3"/>
  <c r="H27" i="3" l="1"/>
  <c r="F27" i="3" s="1"/>
</calcChain>
</file>

<file path=xl/sharedStrings.xml><?xml version="1.0" encoding="utf-8"?>
<sst xmlns="http://schemas.openxmlformats.org/spreadsheetml/2006/main" count="179" uniqueCount="94">
  <si>
    <t>Low Case</t>
  </si>
  <si>
    <t>High Case</t>
  </si>
  <si>
    <t>Confidence / Lean</t>
  </si>
  <si>
    <t>Low Price</t>
  </si>
  <si>
    <t>High Price</t>
  </si>
  <si>
    <t>Expected Market Value</t>
  </si>
  <si>
    <t>MAP(s)</t>
  </si>
  <si>
    <t>Customer Interaction</t>
  </si>
  <si>
    <t>Hypothesis Validation / Invalidation</t>
  </si>
  <si>
    <t>Cost</t>
  </si>
  <si>
    <t>% Chance of Success (assuming the phase happens)</t>
  </si>
  <si>
    <t>Corporate Startup: Option Value Model</t>
  </si>
  <si>
    <t>Overview:</t>
  </si>
  <si>
    <t>Version: Beta 1.1</t>
  </si>
  <si>
    <t>Name of Corporate Startup Idea:</t>
  </si>
  <si>
    <t xml:space="preserve">Phase 1: </t>
  </si>
  <si>
    <t>Budget / Cost</t>
  </si>
  <si>
    <t>/ How much will this phase cost?</t>
  </si>
  <si>
    <t>/ What are you going to validate / invalidate in this phase?</t>
  </si>
  <si>
    <t>/ How will your potential customer interact with those MAP(s)?</t>
  </si>
  <si>
    <t>/ What specifically are you going to build in this phase? This should be one or more Minimum Awesome Product(s).  Or what the Lean Startup referrs to as MVPs.</t>
  </si>
  <si>
    <t xml:space="preserve">Unit Label:  </t>
  </si>
  <si>
    <t xml:space="preserve">Version #: </t>
  </si>
  <si>
    <t>Phase 2:</t>
  </si>
  <si>
    <t>Phase 3:</t>
  </si>
  <si>
    <t>Phase 4:</t>
  </si>
  <si>
    <t>Phase 5:</t>
  </si>
  <si>
    <t>Phase 6:</t>
  </si>
  <si>
    <t>Phase 7:</t>
  </si>
  <si>
    <t>Phase 8:</t>
  </si>
  <si>
    <t>/ Use this to keep track of iterations</t>
  </si>
  <si>
    <t>Instructions:</t>
  </si>
  <si>
    <t xml:space="preserve">Second Set of Questions:  Estimated Roadmap to Validating / Invalidating </t>
  </si>
  <si>
    <t xml:space="preserve">Created by, Corproate Entreprenuer: </t>
  </si>
  <si>
    <t>/ Your Name</t>
  </si>
  <si>
    <t xml:space="preserve">/ What specifically are you going to build in this phase? This should be one or more Minimum Awesome Product(s).  Or what the Lean Startup referrs to as MVPs.  </t>
  </si>
  <si>
    <t>Please fill out each of the blue cells below and then after completing this entire worksheet, click over to look at the output you can share with the rest of your team.</t>
  </si>
  <si>
    <t>Created by:</t>
  </si>
  <si>
    <t>Version:</t>
  </si>
  <si>
    <t>For this section, we are going to ask you to esimate the different phases your corporate startup will likely go through from concept to potentially suceeding and the probability of success at each phase.  The inputs below support up to 8 iterations but in our experience most can be done in ~4 phases.  Simply leave any of the phases you don't want to use blank and they will be ignored for the second &amp; third sheet.  For example, if you estimate going through 4 phases you'd leave ALL the inputs in 5 - 8 blank.
For the "Budget/Cost" input cell for each phase,  you will often need supporting material for how you came up with the cost of each phase.  For this cell just enter the amount and  create a seperate worksheet with underlying assumptions if necessary.  For example, if you anticipate it taking 3 months at a burn of $40k / month plus $10k of one-time expense you would just enter "$130,000" in the cell.</t>
  </si>
  <si>
    <t>For this section, please don't focus on probabilities of being successful.  (We will deal with that in the next section.)  Instead ask yourself the question if this startup idea succeeds, how valuable would it be to my company?  You'll see that we also don't simply as you to quantify this with 1 number but instead give us ranges.  You can also use the slider to indicated your confidence level between the low &amp; high in the range.  For example if an idea could attrack between 100,000 and 500,000 SMBs but you think it would more likely  be closer to 100,00 then drag the slider all the way to the left.  In this example, you would choose "SMBs" as the Unit Label.
Finally, the second set of ranges that you enter attempt to answer how value is each of these for your company.  This may or may not be directly related to a financial metric such as "how much EBITDA would I estimate each SMB providing to my bottom line?"  In that case, you can enter a low &amp; high estimate for the two boxes and again slide the slider to your leaning between the two imputs.  
In others cases though, the value to the company may be finacial plus intangibles.  For example, if you anticipate each new customer of your product or service helping you retain existing customers better and that amplifying the Lifetime value of your exisiting customer base then you should include all of that value in your estimate for the financial value / unit.</t>
  </si>
  <si>
    <t>Roadmap &amp; Option Value to Company</t>
  </si>
  <si>
    <t>MAP</t>
  </si>
  <si>
    <t xml:space="preserve">Phase </t>
  </si>
  <si>
    <t>Anticipated Value @ Start of Phase</t>
  </si>
  <si>
    <t>Anticipatedd Value @ End of Phase (if validated)</t>
  </si>
  <si>
    <t xml:space="preserve">Customer Interaction </t>
  </si>
  <si>
    <t>/ For this idea, how would you estimate the unit that your company would measure impact on.  For example, is it impact per "download" or "doctor" or "SMB" or "mobile app user" or "large scale enterprise"</t>
  </si>
  <si>
    <t>Potential Value to Company</t>
  </si>
  <si>
    <t>P(Stopping)</t>
  </si>
  <si>
    <t>First set of questions: Assessing the potential value to your company.</t>
  </si>
  <si>
    <t>/ What is the probability that, IF YOU START THIS PHASE, you end up validating your hypotheses and moving on to the next phase?</t>
  </si>
  <si>
    <t>P(Success)</t>
  </si>
  <si>
    <t>Cumulative P(Success)</t>
  </si>
  <si>
    <t>www.corporatestartuplab.com</t>
  </si>
  <si>
    <t>The goal of this Excel model is to help finance &amp; corporate entreprenuers communicate clearly with eachother about the potential value of a given corporate startup idea.
In our interviews with different companies, it became evident that traditional methods of calculating the anticipated value (ex: Net Present Value) really don't capture the iterative validation (and therefore multiple decision points around more investments) or potentially asymetic upside involved in most corporate startups.</t>
  </si>
  <si>
    <t>Sample 1</t>
  </si>
  <si>
    <t>Product A</t>
  </si>
  <si>
    <t>Cost 1</t>
  </si>
  <si>
    <t>Cost 2</t>
  </si>
  <si>
    <t>Cost 4</t>
  </si>
  <si>
    <t>Cost 3</t>
  </si>
  <si>
    <t>Cost 5</t>
  </si>
  <si>
    <t>Cost 6</t>
  </si>
  <si>
    <t>Expected profit =</t>
  </si>
  <si>
    <t>w/ ROI</t>
  </si>
  <si>
    <t>←Successful case</t>
  </si>
  <si>
    <t>Ideal profit</t>
  </si>
  <si>
    <t>←After consideration of the probability</t>
  </si>
  <si>
    <t>P　(Success)</t>
  </si>
  <si>
    <t>ROI - 2
P-adjusted cost</t>
  </si>
  <si>
    <t>ROI - 1
Full cost</t>
  </si>
  <si>
    <t>months</t>
  </si>
  <si>
    <t>/year</t>
  </si>
  <si>
    <t>Status at the end of the phase</t>
  </si>
  <si>
    <t>Sales with probability
(a)</t>
  </si>
  <si>
    <t>(a)-full cost</t>
  </si>
  <si>
    <t>(a)-cost*probability</t>
  </si>
  <si>
    <t>←NPV</t>
  </si>
  <si>
    <t>←Disc. Factor</t>
  </si>
  <si>
    <t>Non discounted CF</t>
  </si>
  <si>
    <t>Discount value analysis (Tax benefit not considered)</t>
  </si>
  <si>
    <t>←XIRR</t>
  </si>
  <si>
    <t>Invested Capital</t>
  </si>
  <si>
    <t>Expected timing to complete</t>
  </si>
  <si>
    <t>Date
Start                     Complete</t>
  </si>
  <si>
    <t>Discounted CF
(OUT)</t>
  </si>
  <si>
    <t>Discounted CF
(IN)</t>
  </si>
  <si>
    <t>Cost 8</t>
  </si>
  <si>
    <t>Discount Rate
(Cash OUT)</t>
  </si>
  <si>
    <t>Discount rate
(Cash IN)</t>
  </si>
  <si>
    <t>Cost 7</t>
  </si>
  <si>
    <t>Expected Discount Rate</t>
  </si>
  <si>
    <t>Start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</si>
</sst>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
    <numFmt numFmtId="167" formatCode="_-* #,##0_-;\-* #,##0_-;_-* &quot;-&quot;??_-;_-@_-"/>
    <numFmt numFmtId="168" formatCode=";;"/>
    <numFmt numFmtId="169" formatCode="&quot;$&quot;#,##0.00;;;"/>
    <numFmt numFmtId="170" formatCode="0%;;;"/>
    <numFmt numFmtId="171" formatCode="0.0%;;"/>
    <numFmt numFmtId="172" formatCode="0.0%"/>
    <numFmt numFmtId="173" formatCode="0.0000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Arial"/>
      <family val="2"/>
    </font>
    <font>
      <u/>
      <sz val="11"/>
      <color theme="1"/>
      <name val="Arial"/>
      <family val="2"/>
    </font>
    <font>
      <sz val="11"/>
      <color theme="1"/>
      <name val="Calibri"/>
      <family val="2"/>
      <scheme val="minor"/>
    </font>
    <font>
      <sz val="28"/>
      <color theme="1"/>
      <name val="Calibri"/>
      <family val="2"/>
      <scheme val="minor"/>
    </font>
    <font>
      <b/>
      <i/>
      <sz val="12"/>
      <color theme="1"/>
      <name val="Calibri"/>
      <family val="2"/>
      <scheme val="minor"/>
    </font>
    <font>
      <b/>
      <sz val="16"/>
      <color theme="1"/>
      <name val="Calibri"/>
      <family val="2"/>
      <scheme val="minor"/>
    </font>
    <font>
      <i/>
      <sz val="9"/>
      <color theme="1"/>
      <name val="Calibri"/>
      <family val="2"/>
      <scheme val="minor"/>
    </font>
    <font>
      <sz val="12"/>
      <color theme="1"/>
      <name val="Calibri (Body)"/>
    </font>
    <font>
      <u/>
      <sz val="12"/>
      <color theme="1"/>
      <name val="Calibri (Body)"/>
    </font>
    <font>
      <b/>
      <sz val="11"/>
      <color theme="1"/>
      <name val="Calibri"/>
      <family val="2"/>
      <scheme val="minor"/>
    </font>
    <font>
      <sz val="11"/>
      <color theme="0"/>
      <name val="Calibri"/>
      <family val="2"/>
      <scheme val="minor"/>
    </font>
    <font>
      <u/>
      <sz val="11"/>
      <color theme="10"/>
      <name val="Calibri"/>
      <family val="2"/>
      <scheme val="minor"/>
    </font>
    <font>
      <sz val="20"/>
      <color theme="1"/>
      <name val="Calibri"/>
      <family val="2"/>
      <scheme val="minor"/>
    </font>
  </fonts>
  <fills count="8">
    <fill>
      <patternFill patternType="none"/>
    </fill>
    <fill>
      <patternFill patternType="gray125"/>
    </fill>
    <fill>
      <patternFill patternType="solid">
        <fgColor rgb="FF03D2AB"/>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n">
        <color auto="1"/>
      </left>
      <right/>
      <top style="thin">
        <color auto="1"/>
      </top>
      <bottom style="thin">
        <color auto="1"/>
      </bottom>
      <diagonal/>
    </border>
    <border>
      <left/>
      <right style="dashed">
        <color auto="1"/>
      </right>
      <top style="thin">
        <color auto="1"/>
      </top>
      <bottom style="thick">
        <color auto="1"/>
      </bottom>
      <diagonal/>
    </border>
    <border>
      <left/>
      <right style="thick">
        <color auto="1"/>
      </right>
      <top style="thick">
        <color auto="1"/>
      </top>
      <bottom/>
      <diagonal/>
    </border>
  </borders>
  <cellStyleXfs count="7">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112">
    <xf numFmtId="0" fontId="0" fillId="0" borderId="0" xfId="0"/>
    <xf numFmtId="0" fontId="3" fillId="0" borderId="0" xfId="0" applyFont="1"/>
    <xf numFmtId="0" fontId="3" fillId="0" borderId="0" xfId="0" quotePrefix="1" applyFont="1" applyAlignment="1">
      <alignment horizontal="right"/>
    </xf>
    <xf numFmtId="0" fontId="4" fillId="0" borderId="0" xfId="0" applyFont="1" applyAlignment="1">
      <alignment horizontal="center"/>
    </xf>
    <xf numFmtId="8" fontId="3" fillId="0" borderId="0" xfId="0" applyNumberFormat="1" applyFont="1"/>
    <xf numFmtId="166" fontId="3" fillId="0" borderId="0" xfId="0" applyNumberFormat="1" applyFont="1"/>
    <xf numFmtId="0" fontId="6" fillId="0" borderId="0" xfId="0" applyFont="1"/>
    <xf numFmtId="0" fontId="0" fillId="2" borderId="0" xfId="0" applyFill="1"/>
    <xf numFmtId="0" fontId="0" fillId="0" borderId="0" xfId="0" applyAlignment="1">
      <alignment horizontal="right"/>
    </xf>
    <xf numFmtId="0" fontId="0" fillId="0" borderId="0" xfId="0" applyAlignment="1">
      <alignment vertical="center" wrapText="1"/>
    </xf>
    <xf numFmtId="0" fontId="7" fillId="0" borderId="0" xfId="0" applyFont="1"/>
    <xf numFmtId="0" fontId="2" fillId="0" borderId="0" xfId="0" applyFont="1" applyAlignment="1">
      <alignment horizontal="left" vertical="center" wrapText="1"/>
    </xf>
    <xf numFmtId="0" fontId="8" fillId="0" borderId="0" xfId="0" applyFont="1"/>
    <xf numFmtId="0" fontId="9" fillId="0" borderId="0" xfId="0" applyFont="1" applyAlignment="1">
      <alignment horizontal="right"/>
    </xf>
    <xf numFmtId="0" fontId="2" fillId="0" borderId="0" xfId="0" applyFont="1" applyAlignment="1">
      <alignment wrapText="1"/>
    </xf>
    <xf numFmtId="0" fontId="2" fillId="0" borderId="0" xfId="0" applyFont="1"/>
    <xf numFmtId="0" fontId="10" fillId="0" borderId="0" xfId="0" applyFont="1"/>
    <xf numFmtId="0" fontId="11" fillId="0" borderId="0" xfId="0" applyFont="1" applyAlignment="1">
      <alignment horizontal="center"/>
    </xf>
    <xf numFmtId="0" fontId="2" fillId="0" borderId="0" xfId="0" applyFont="1" applyAlignment="1">
      <alignment vertical="top" wrapText="1"/>
    </xf>
    <xf numFmtId="0" fontId="9" fillId="0" borderId="0" xfId="0" applyFont="1" applyAlignment="1">
      <alignment horizontal="center" vertical="center" wrapText="1"/>
    </xf>
    <xf numFmtId="0" fontId="9" fillId="0" borderId="0" xfId="0" applyFont="1"/>
    <xf numFmtId="0" fontId="0" fillId="0" borderId="0" xfId="0" quotePrefix="1" applyAlignment="1">
      <alignment horizontal="left" vertical="center" wrapText="1"/>
    </xf>
    <xf numFmtId="0" fontId="10" fillId="0" borderId="0" xfId="0" applyFont="1" applyAlignment="1">
      <alignment horizontal="left" vertical="center" wrapText="1"/>
    </xf>
    <xf numFmtId="3" fontId="0" fillId="0" borderId="0" xfId="0" applyNumberFormat="1"/>
    <xf numFmtId="8" fontId="0" fillId="0" borderId="0" xfId="0" applyNumberFormat="1"/>
    <xf numFmtId="0" fontId="0" fillId="0" borderId="0" xfId="0" quotePrefix="1" applyAlignment="1">
      <alignment horizontal="left"/>
    </xf>
    <xf numFmtId="6" fontId="0" fillId="0" borderId="0" xfId="0" applyNumberFormat="1"/>
    <xf numFmtId="0" fontId="0" fillId="0" borderId="1" xfId="0" applyBorder="1"/>
    <xf numFmtId="0" fontId="0" fillId="0" borderId="1" xfId="0" applyBorder="1" applyAlignment="1">
      <alignment horizontal="center"/>
    </xf>
    <xf numFmtId="168" fontId="0" fillId="0" borderId="1" xfId="0" applyNumberFormat="1" applyBorder="1"/>
    <xf numFmtId="169" fontId="0" fillId="0" borderId="1" xfId="0" applyNumberFormat="1" applyBorder="1"/>
    <xf numFmtId="169" fontId="0" fillId="0" borderId="1" xfId="0" applyNumberFormat="1" applyFont="1" applyBorder="1"/>
    <xf numFmtId="170" fontId="0" fillId="0" borderId="1" xfId="0" applyNumberFormat="1" applyBorder="1"/>
    <xf numFmtId="169" fontId="12" fillId="4" borderId="1" xfId="0" applyNumberFormat="1" applyFont="1" applyFill="1" applyBorder="1"/>
    <xf numFmtId="0" fontId="8" fillId="0" borderId="0" xfId="0" quotePrefix="1" applyFont="1" applyAlignment="1">
      <alignment horizontal="left"/>
    </xf>
    <xf numFmtId="0" fontId="13" fillId="0" borderId="0" xfId="0" applyFont="1"/>
    <xf numFmtId="0" fontId="14" fillId="0" borderId="0" xfId="4"/>
    <xf numFmtId="0" fontId="0" fillId="0" borderId="0" xfId="0" applyProtection="1">
      <protection locked="0"/>
    </xf>
    <xf numFmtId="0" fontId="0" fillId="3" borderId="2" xfId="0" applyFill="1" applyBorder="1" applyProtection="1">
      <protection locked="0"/>
    </xf>
    <xf numFmtId="0" fontId="0" fillId="3" borderId="2" xfId="0" applyFill="1" applyBorder="1" applyAlignment="1" applyProtection="1">
      <alignment horizontal="center" vertical="center"/>
      <protection locked="0"/>
    </xf>
    <xf numFmtId="167" fontId="0" fillId="3" borderId="2" xfId="1" applyNumberFormat="1" applyFont="1" applyFill="1" applyBorder="1" applyProtection="1">
      <protection locked="0"/>
    </xf>
    <xf numFmtId="164" fontId="0" fillId="3" borderId="2" xfId="2" applyFont="1" applyFill="1" applyBorder="1" applyProtection="1">
      <protection locked="0"/>
    </xf>
    <xf numFmtId="0" fontId="3" fillId="0" borderId="0" xfId="0" applyFont="1" applyProtection="1">
      <protection locked="0"/>
    </xf>
    <xf numFmtId="0" fontId="0" fillId="3" borderId="2" xfId="0" applyFill="1" applyBorder="1" applyAlignment="1" applyProtection="1">
      <alignment wrapText="1"/>
      <protection locked="0"/>
    </xf>
    <xf numFmtId="9" fontId="0" fillId="3" borderId="2" xfId="3" applyFont="1" applyFill="1" applyBorder="1" applyAlignment="1" applyProtection="1">
      <alignment horizontal="center" vertical="center" wrapText="1"/>
      <protection locked="0"/>
    </xf>
    <xf numFmtId="164" fontId="0" fillId="3" borderId="2" xfId="2" applyFont="1" applyFill="1" applyBorder="1" applyAlignment="1" applyProtection="1">
      <alignment wrapText="1"/>
      <protection locked="0"/>
    </xf>
    <xf numFmtId="0" fontId="0" fillId="0" borderId="0" xfId="0" applyAlignment="1" applyProtection="1">
      <alignment wrapText="1"/>
      <protection locked="0"/>
    </xf>
    <xf numFmtId="0" fontId="0" fillId="3" borderId="2" xfId="0" quotePrefix="1" applyFill="1" applyBorder="1" applyAlignment="1" applyProtection="1">
      <alignment horizontal="left" wrapText="1"/>
      <protection locked="0"/>
    </xf>
    <xf numFmtId="164" fontId="0" fillId="0" borderId="0" xfId="2" applyFont="1"/>
    <xf numFmtId="172" fontId="0" fillId="0" borderId="0" xfId="3" applyNumberFormat="1" applyFont="1"/>
    <xf numFmtId="44" fontId="0" fillId="0" borderId="0" xfId="0" applyNumberFormat="1"/>
    <xf numFmtId="172" fontId="0" fillId="0" borderId="0" xfId="3" applyNumberFormat="1" applyFont="1" applyFill="1" applyBorder="1"/>
    <xf numFmtId="0" fontId="8" fillId="0" borderId="0" xfId="0" applyFont="1" applyAlignment="1"/>
    <xf numFmtId="0" fontId="8" fillId="0" borderId="0" xfId="0" quotePrefix="1" applyFont="1" applyAlignment="1">
      <alignment horizontal="center"/>
    </xf>
    <xf numFmtId="0" fontId="8" fillId="5" borderId="0" xfId="0" applyFont="1" applyFill="1" applyAlignment="1">
      <alignment horizontal="center"/>
    </xf>
    <xf numFmtId="44" fontId="8" fillId="5" borderId="0" xfId="0" applyNumberFormat="1" applyFont="1" applyFill="1" applyAlignment="1"/>
    <xf numFmtId="0" fontId="8" fillId="5" borderId="0" xfId="0" applyFont="1" applyFill="1"/>
    <xf numFmtId="172" fontId="8" fillId="5" borderId="0" xfId="3" applyNumberFormat="1" applyFont="1" applyFill="1"/>
    <xf numFmtId="173" fontId="0" fillId="0" borderId="0" xfId="0" applyNumberFormat="1"/>
    <xf numFmtId="169" fontId="0" fillId="0" borderId="0" xfId="0" applyNumberFormat="1"/>
    <xf numFmtId="164" fontId="0" fillId="0" borderId="0" xfId="0" applyNumberFormat="1"/>
    <xf numFmtId="172" fontId="9" fillId="0" borderId="0" xfId="3" applyNumberFormat="1" applyFont="1" applyAlignment="1">
      <alignment horizontal="center" vertical="center" wrapText="1"/>
    </xf>
    <xf numFmtId="0" fontId="1" fillId="6" borderId="0" xfId="0" applyFont="1" applyFill="1"/>
    <xf numFmtId="0" fontId="0" fillId="6" borderId="0" xfId="0" applyFill="1"/>
    <xf numFmtId="0" fontId="0" fillId="6" borderId="0" xfId="0" applyFill="1" applyAlignment="1">
      <alignment vertical="center" wrapText="1"/>
    </xf>
    <xf numFmtId="10" fontId="0" fillId="6" borderId="0" xfId="0" applyNumberFormat="1" applyFill="1" applyAlignment="1" applyProtection="1">
      <alignment wrapText="1"/>
      <protection locked="0"/>
    </xf>
    <xf numFmtId="172" fontId="0" fillId="0" borderId="0" xfId="0" applyNumberFormat="1"/>
    <xf numFmtId="10" fontId="0" fillId="0" borderId="0" xfId="0" applyNumberFormat="1"/>
    <xf numFmtId="10" fontId="0" fillId="0" borderId="0" xfId="3" applyNumberFormat="1" applyFont="1"/>
    <xf numFmtId="14" fontId="0" fillId="6" borderId="0" xfId="0" applyNumberFormat="1" applyFill="1" applyAlignment="1" applyProtection="1">
      <alignment wrapText="1"/>
      <protection locked="0"/>
    </xf>
    <xf numFmtId="14" fontId="0" fillId="0" borderId="0" xfId="0" applyNumberFormat="1"/>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4" fontId="0" fillId="0" borderId="6" xfId="0" applyNumberFormat="1" applyBorder="1"/>
    <xf numFmtId="10" fontId="0" fillId="0" borderId="7" xfId="0" applyNumberFormat="1" applyBorder="1"/>
    <xf numFmtId="164" fontId="0" fillId="0" borderId="7" xfId="2" applyFont="1" applyBorder="1"/>
    <xf numFmtId="164" fontId="0" fillId="0" borderId="8" xfId="2" applyFont="1" applyBorder="1"/>
    <xf numFmtId="10" fontId="0" fillId="0" borderId="10" xfId="0" applyNumberFormat="1" applyBorder="1"/>
    <xf numFmtId="14" fontId="0" fillId="6" borderId="0" xfId="0" applyNumberFormat="1" applyFill="1"/>
    <xf numFmtId="14" fontId="0" fillId="0" borderId="7" xfId="0" applyNumberFormat="1" applyBorder="1"/>
    <xf numFmtId="164" fontId="0" fillId="0" borderId="11" xfId="2" applyFont="1" applyBorder="1"/>
    <xf numFmtId="0" fontId="0" fillId="0" borderId="10" xfId="0" applyBorder="1"/>
    <xf numFmtId="171" fontId="0" fillId="0" borderId="12" xfId="0" applyNumberFormat="1" applyBorder="1"/>
    <xf numFmtId="164" fontId="9" fillId="5" borderId="6" xfId="2" applyFont="1" applyFill="1" applyBorder="1" applyAlignment="1">
      <alignment horizontal="center" vertical="center" wrapText="1"/>
    </xf>
    <xf numFmtId="0" fontId="9" fillId="5" borderId="7" xfId="0" applyFont="1" applyFill="1" applyBorder="1" applyAlignment="1">
      <alignment horizontal="center" vertical="center" wrapText="1"/>
    </xf>
    <xf numFmtId="44" fontId="0" fillId="5" borderId="6" xfId="2" applyNumberFormat="1" applyFont="1" applyFill="1" applyBorder="1"/>
    <xf numFmtId="44" fontId="0" fillId="5" borderId="7" xfId="0" applyNumberFormat="1" applyFill="1" applyBorder="1"/>
    <xf numFmtId="172" fontId="0" fillId="5" borderId="7" xfId="3" applyNumberFormat="1" applyFont="1" applyFill="1" applyBorder="1"/>
    <xf numFmtId="44" fontId="0" fillId="5" borderId="7" xfId="2" applyNumberFormat="1" applyFont="1" applyFill="1" applyBorder="1"/>
    <xf numFmtId="44" fontId="0" fillId="5" borderId="9" xfId="2" applyNumberFormat="1" applyFont="1" applyFill="1" applyBorder="1"/>
    <xf numFmtId="44" fontId="0" fillId="5" borderId="10" xfId="0" applyNumberFormat="1" applyFill="1" applyBorder="1"/>
    <xf numFmtId="172" fontId="0" fillId="5" borderId="10" xfId="3" applyNumberFormat="1" applyFont="1" applyFill="1" applyBorder="1"/>
    <xf numFmtId="44" fontId="0" fillId="5" borderId="10" xfId="2" applyNumberFormat="1" applyFont="1" applyFill="1" applyBorder="1"/>
    <xf numFmtId="0" fontId="0" fillId="5" borderId="8" xfId="0" applyFill="1" applyBorder="1" applyAlignment="1">
      <alignment horizontal="center" vertical="center"/>
    </xf>
    <xf numFmtId="172" fontId="0" fillId="5" borderId="8" xfId="3" applyNumberFormat="1" applyFont="1" applyFill="1" applyBorder="1" applyAlignment="1">
      <alignment horizontal="center" vertical="center"/>
    </xf>
    <xf numFmtId="9" fontId="0" fillId="5" borderId="11" xfId="3" applyFont="1" applyFill="1" applyBorder="1" applyAlignment="1">
      <alignment horizontal="center" vertical="center"/>
    </xf>
    <xf numFmtId="14" fontId="0" fillId="0" borderId="13" xfId="0" applyNumberFormat="1" applyBorder="1"/>
    <xf numFmtId="9" fontId="13" fillId="7" borderId="14" xfId="3"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8" fillId="0" borderId="0" xfId="0" applyFont="1" applyAlignment="1">
      <alignment horizontal="left"/>
    </xf>
    <xf numFmtId="0" fontId="8" fillId="0" borderId="0" xfId="0" quotePrefix="1" applyFont="1" applyAlignment="1">
      <alignment horizontal="center"/>
    </xf>
    <xf numFmtId="0" fontId="8" fillId="5" borderId="0" xfId="0" applyFont="1" applyFill="1" applyAlignment="1">
      <alignment horizontal="center"/>
    </xf>
    <xf numFmtId="164" fontId="15" fillId="0" borderId="3" xfId="2" applyFont="1" applyBorder="1" applyAlignment="1">
      <alignment horizontal="center"/>
    </xf>
    <xf numFmtId="164" fontId="15" fillId="0" borderId="4" xfId="2" applyFont="1" applyBorder="1" applyAlignment="1">
      <alignment horizontal="center"/>
    </xf>
    <xf numFmtId="164" fontId="15" fillId="0" borderId="5" xfId="2" applyFont="1" applyBorder="1" applyAlignment="1">
      <alignment horizontal="center"/>
    </xf>
  </cellXfs>
  <cellStyles count="7">
    <cellStyle name="Comma" xfId="1" builtinId="3"/>
    <cellStyle name="Comma 2" xfId="6" xr:uid="{4732CE05-77C4-43C1-B71E-6FAB6E658512}"/>
    <cellStyle name="Currency" xfId="2" builtinId="4"/>
    <cellStyle name="Currency 2" xfId="5" xr:uid="{37E5146B-1A8E-4375-8BFD-4FE9BAFCC806}"/>
    <cellStyle name="Hyperlink" xfId="4" builtinId="8"/>
    <cellStyle name="Normal" xfId="0" builtinId="0"/>
    <cellStyle name="Percent" xfId="3" builtinId="5"/>
  </cellStyles>
  <dxfs count="0"/>
  <tableStyles count="0" defaultTableStyle="TableStyleMedium2" defaultPivotStyle="PivotStyleLight16"/>
  <colors>
    <mruColors>
      <color rgb="FFCCECFF"/>
      <color rgb="FFFFCCCC"/>
      <color rgb="FFCCFFCC"/>
      <color rgb="FF0000FF"/>
      <color rgb="FF03D2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Potential Value to Company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2"/>
          <c:order val="2"/>
          <c:tx>
            <c:strRef>
              <c:f>Output!$E$10</c:f>
              <c:strCache>
                <c:ptCount val="1"/>
                <c:pt idx="0">
                  <c:v>Expected Market Value</c:v>
                </c:pt>
              </c:strCache>
            </c:strRef>
          </c:tx>
          <c:spPr>
            <a:ln w="25400" cap="rnd">
              <a:noFill/>
              <a:round/>
            </a:ln>
            <a:effectLst/>
          </c:spPr>
          <c:marker>
            <c:symbol val="circle"/>
            <c:size val="7"/>
            <c:spPr>
              <a:solidFill>
                <a:srgbClr val="CCFFCC"/>
              </a:solidFill>
              <a:ln w="19050">
                <a:solidFill>
                  <a:schemeClr val="tx1"/>
                </a:solidFill>
              </a:ln>
              <a:effectLst/>
            </c:spPr>
          </c:marker>
          <c:dLbls>
            <c:dLbl>
              <c:idx val="0"/>
              <c:tx>
                <c:rich>
                  <a:bodyPr/>
                  <a:lstStyle/>
                  <a:p>
                    <a:endParaRPr lang="en-US"/>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C90-4B6B-B016-12929744849E}"/>
                </c:ext>
              </c:extLst>
            </c:dLbl>
            <c:dLbl>
              <c:idx val="1"/>
              <c:tx>
                <c:rich>
                  <a:bodyPr/>
                  <a:lstStyle/>
                  <a:p>
                    <a:endParaRPr lang="en-US"/>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C90-4B6B-B016-12929744849E}"/>
                </c:ext>
              </c:extLst>
            </c:dLbl>
            <c:dLbl>
              <c:idx val="2"/>
              <c:tx>
                <c:rich>
                  <a:bodyPr/>
                  <a:lstStyle/>
                  <a:p>
                    <a:endParaRPr lang="en-US"/>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6C90-4B6B-B016-12929744849E}"/>
                </c:ext>
              </c:extLst>
            </c:dLbl>
            <c:dLbl>
              <c:idx val="3"/>
              <c:tx>
                <c:rich>
                  <a:bodyPr/>
                  <a:lstStyle/>
                  <a:p>
                    <a:fld id="{969B9943-2563-214B-963B-CD8202E95B6D}" type="XVALUE">
                      <a:rPr lang="en-US"/>
                      <a:pPr/>
                      <a:t>[X VALUE]</a:t>
                    </a:fld>
                    <a:r>
                      <a:rPr lang="en-US" baseline="0"/>
                      <a:t>, </a:t>
                    </a:r>
                    <a:fld id="{B8625B9F-AE16-8A4C-A776-F8F0C8529E69}" type="YVALUE">
                      <a:rPr lang="en-US" baseline="0"/>
                      <a:pPr/>
                      <a:t>[Y VALUE]</a:t>
                    </a:fld>
                    <a:endParaRPr lang="en-US" baseline="0"/>
                  </a:p>
                </c:rich>
              </c:tx>
              <c:dLblPos val="r"/>
              <c:showLegendKey val="0"/>
              <c:showVal val="1"/>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C90-4B6B-B016-12929744849E}"/>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r"/>
            <c:showLegendKey val="0"/>
            <c:showVal val="1"/>
            <c:showCatName val="1"/>
            <c:showSerName val="0"/>
            <c:showPercent val="0"/>
            <c:showBubbleSize val="0"/>
            <c:showLeaderLines val="0"/>
            <c:extLst>
              <c:ext xmlns:c15="http://schemas.microsoft.com/office/drawing/2012/chart" uri="{CE6537A1-D6FC-4f65-9D91-7224C49458BB}">
                <c15:showDataLabelsRange val="1"/>
                <c15:showLeaderLines val="0"/>
              </c:ext>
            </c:extLst>
          </c:dLbls>
          <c:xVal>
            <c:numRef>
              <c:f>Output!$B$11:$B$14</c:f>
              <c:numCache>
                <c:formatCode>#,##0</c:formatCode>
                <c:ptCount val="4"/>
                <c:pt idx="0">
                  <c:v>0</c:v>
                </c:pt>
                <c:pt idx="1">
                  <c:v>10000</c:v>
                </c:pt>
                <c:pt idx="2">
                  <c:v>20000</c:v>
                </c:pt>
                <c:pt idx="3">
                  <c:v>15000</c:v>
                </c:pt>
              </c:numCache>
            </c:numRef>
          </c:xVal>
          <c:yVal>
            <c:numRef>
              <c:f>Output!$E$11:$E$14</c:f>
              <c:numCache>
                <c:formatCode>General</c:formatCode>
                <c:ptCount val="4"/>
                <c:pt idx="3" formatCode="&quot;$&quot;#,##0.00_);[Red]\(&quot;$&quot;#,##0.00\)">
                  <c:v>15</c:v>
                </c:pt>
              </c:numCache>
            </c:numRef>
          </c:yVal>
          <c:smooth val="0"/>
          <c:extLst>
            <c:ext xmlns:c15="http://schemas.microsoft.com/office/drawing/2012/chart" uri="{02D57815-91ED-43cb-92C2-25804820EDAC}">
              <c15:datalabelsRange>
                <c15:f>Output!$B$22</c15:f>
                <c15:dlblRangeCache>
                  <c:ptCount val="1"/>
                  <c:pt idx="0">
                    <c:v>$225,000 </c:v>
                  </c:pt>
                </c15:dlblRangeCache>
              </c15:datalabelsRange>
            </c:ext>
            <c:ext xmlns:c16="http://schemas.microsoft.com/office/drawing/2014/chart" uri="{C3380CC4-5D6E-409C-BE32-E72D297353CC}">
              <c16:uniqueId val="{00000004-6C90-4B6B-B016-12929744849E}"/>
            </c:ext>
          </c:extLst>
        </c:ser>
        <c:dLbls>
          <c:showLegendKey val="0"/>
          <c:showVal val="0"/>
          <c:showCatName val="0"/>
          <c:showSerName val="0"/>
          <c:showPercent val="0"/>
          <c:showBubbleSize val="0"/>
        </c:dLbls>
        <c:axId val="438192888"/>
        <c:axId val="438194456"/>
      </c:scatterChart>
      <c:scatterChart>
        <c:scatterStyle val="smoothMarker"/>
        <c:varyColors val="0"/>
        <c:ser>
          <c:idx val="0"/>
          <c:order val="0"/>
          <c:tx>
            <c:strRef>
              <c:f>Output!$C$10</c:f>
              <c:strCache>
                <c:ptCount val="1"/>
                <c:pt idx="0">
                  <c:v>Low Price</c:v>
                </c:pt>
              </c:strCache>
            </c:strRef>
          </c:tx>
          <c:spPr>
            <a:ln w="19050" cap="rnd">
              <a:solidFill>
                <a:srgbClr val="C00000"/>
              </a:solidFill>
              <a:round/>
            </a:ln>
            <a:effectLst/>
          </c:spPr>
          <c:marker>
            <c:symbol val="circle"/>
            <c:size val="5"/>
            <c:spPr>
              <a:solidFill>
                <a:srgbClr val="C00000"/>
              </a:solidFill>
              <a:ln w="9525">
                <a:solidFill>
                  <a:srgbClr val="C00000"/>
                </a:solidFill>
              </a:ln>
              <a:effectLst/>
            </c:spPr>
          </c:marker>
          <c:xVal>
            <c:numRef>
              <c:f>Output!$B$11:$B$13</c:f>
              <c:numCache>
                <c:formatCode>#,##0</c:formatCode>
                <c:ptCount val="3"/>
                <c:pt idx="0">
                  <c:v>0</c:v>
                </c:pt>
                <c:pt idx="1">
                  <c:v>10000</c:v>
                </c:pt>
                <c:pt idx="2">
                  <c:v>20000</c:v>
                </c:pt>
              </c:numCache>
            </c:numRef>
          </c:xVal>
          <c:yVal>
            <c:numRef>
              <c:f>Output!$C$11:$C$13</c:f>
              <c:numCache>
                <c:formatCode>"$"#,##0.00_);[Red]\("$"#,##0.00\)</c:formatCode>
                <c:ptCount val="3"/>
                <c:pt idx="1">
                  <c:v>10</c:v>
                </c:pt>
                <c:pt idx="2">
                  <c:v>10</c:v>
                </c:pt>
              </c:numCache>
            </c:numRef>
          </c:yVal>
          <c:smooth val="1"/>
          <c:extLst>
            <c:ext xmlns:c16="http://schemas.microsoft.com/office/drawing/2014/chart" uri="{C3380CC4-5D6E-409C-BE32-E72D297353CC}">
              <c16:uniqueId val="{00000005-6C90-4B6B-B016-12929744849E}"/>
            </c:ext>
          </c:extLst>
        </c:ser>
        <c:ser>
          <c:idx val="1"/>
          <c:order val="1"/>
          <c:tx>
            <c:strRef>
              <c:f>Output!$D$10</c:f>
              <c:strCache>
                <c:ptCount val="1"/>
                <c:pt idx="0">
                  <c:v>High Price</c:v>
                </c:pt>
              </c:strCache>
            </c:strRef>
          </c:tx>
          <c:spPr>
            <a:ln w="19050"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xVal>
            <c:numRef>
              <c:f>Output!$B$11:$B$13</c:f>
              <c:numCache>
                <c:formatCode>#,##0</c:formatCode>
                <c:ptCount val="3"/>
                <c:pt idx="0">
                  <c:v>0</c:v>
                </c:pt>
                <c:pt idx="1">
                  <c:v>10000</c:v>
                </c:pt>
                <c:pt idx="2">
                  <c:v>20000</c:v>
                </c:pt>
              </c:numCache>
            </c:numRef>
          </c:xVal>
          <c:yVal>
            <c:numRef>
              <c:f>Output!$D$11:$D$13</c:f>
              <c:numCache>
                <c:formatCode>"$"#,##0.00_);[Red]\("$"#,##0.00\)</c:formatCode>
                <c:ptCount val="3"/>
                <c:pt idx="1">
                  <c:v>20</c:v>
                </c:pt>
                <c:pt idx="2">
                  <c:v>20</c:v>
                </c:pt>
              </c:numCache>
            </c:numRef>
          </c:yVal>
          <c:smooth val="1"/>
          <c:extLst>
            <c:ext xmlns:c16="http://schemas.microsoft.com/office/drawing/2014/chart" uri="{C3380CC4-5D6E-409C-BE32-E72D297353CC}">
              <c16:uniqueId val="{00000006-6C90-4B6B-B016-12929744849E}"/>
            </c:ext>
          </c:extLst>
        </c:ser>
        <c:dLbls>
          <c:showLegendKey val="0"/>
          <c:showVal val="0"/>
          <c:showCatName val="0"/>
          <c:showSerName val="0"/>
          <c:showPercent val="0"/>
          <c:showBubbleSize val="0"/>
        </c:dLbls>
        <c:axId val="438192888"/>
        <c:axId val="438194456"/>
      </c:scatterChart>
      <c:valAx>
        <c:axId val="438192888"/>
        <c:scaling>
          <c:orientation val="minMax"/>
        </c:scaling>
        <c:delete val="0"/>
        <c:axPos val="b"/>
        <c:title>
          <c:tx>
            <c:strRef>
              <c:f>Output!$B$10</c:f>
              <c:strCache>
                <c:ptCount val="1"/>
                <c:pt idx="0">
                  <c:v>Product A Total</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194456"/>
        <c:crosses val="autoZero"/>
        <c:crossBetween val="midCat"/>
      </c:valAx>
      <c:valAx>
        <c:axId val="438194456"/>
        <c:scaling>
          <c:orientation val="minMax"/>
        </c:scaling>
        <c:delete val="0"/>
        <c:axPos val="l"/>
        <c:title>
          <c:tx>
            <c:strRef>
              <c:f>Output!$B$9</c:f>
              <c:strCache>
                <c:ptCount val="1"/>
                <c:pt idx="0">
                  <c:v>Value / Product A</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quot;$&quot;#,##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192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Scheduled CF and Probability of success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Output!$C$39</c:f>
              <c:strCache>
                <c:ptCount val="1"/>
                <c:pt idx="0">
                  <c:v>Non discounted CF</c:v>
                </c:pt>
              </c:strCache>
            </c:strRef>
          </c:tx>
          <c:spPr>
            <a:solidFill>
              <a:schemeClr val="accent2"/>
            </a:solidFill>
            <a:ln>
              <a:noFill/>
            </a:ln>
            <a:effectLst/>
          </c:spPr>
          <c:invertIfNegative val="0"/>
          <c:cat>
            <c:numRef>
              <c:f>Output!$A$40:$A$48</c:f>
              <c:numCache>
                <c:formatCode>m/d/yy</c:formatCode>
                <c:ptCount val="9"/>
                <c:pt idx="0">
                  <c:v>43831</c:v>
                </c:pt>
                <c:pt idx="1">
                  <c:v>43862</c:v>
                </c:pt>
                <c:pt idx="2">
                  <c:v>43891</c:v>
                </c:pt>
                <c:pt idx="3">
                  <c:v>43922</c:v>
                </c:pt>
                <c:pt idx="4">
                  <c:v>43983</c:v>
                </c:pt>
                <c:pt idx="5">
                  <c:v>44044</c:v>
                </c:pt>
                <c:pt idx="6">
                  <c:v>44075</c:v>
                </c:pt>
                <c:pt idx="7">
                  <c:v>44228</c:v>
                </c:pt>
                <c:pt idx="8">
                  <c:v>44348</c:v>
                </c:pt>
              </c:numCache>
            </c:numRef>
          </c:cat>
          <c:val>
            <c:numRef>
              <c:f>Output!$C$40:$C$48</c:f>
              <c:numCache>
                <c:formatCode>General</c:formatCode>
                <c:ptCount val="9"/>
                <c:pt idx="0">
                  <c:v>-20000</c:v>
                </c:pt>
                <c:pt idx="1">
                  <c:v>-20000</c:v>
                </c:pt>
                <c:pt idx="2">
                  <c:v>-30000</c:v>
                </c:pt>
                <c:pt idx="3">
                  <c:v>-40000</c:v>
                </c:pt>
                <c:pt idx="4">
                  <c:v>-30000</c:v>
                </c:pt>
                <c:pt idx="5">
                  <c:v>-20000</c:v>
                </c:pt>
                <c:pt idx="6">
                  <c:v>-10000</c:v>
                </c:pt>
                <c:pt idx="7">
                  <c:v>-10000</c:v>
                </c:pt>
                <c:pt idx="8">
                  <c:v>225000</c:v>
                </c:pt>
              </c:numCache>
            </c:numRef>
          </c:val>
          <c:extLst>
            <c:ext xmlns:c16="http://schemas.microsoft.com/office/drawing/2014/chart" uri="{C3380CC4-5D6E-409C-BE32-E72D297353CC}">
              <c16:uniqueId val="{00000001-16AB-4387-BEE8-F0F73A4B34EC}"/>
            </c:ext>
          </c:extLst>
        </c:ser>
        <c:dLbls>
          <c:showLegendKey val="0"/>
          <c:showVal val="0"/>
          <c:showCatName val="0"/>
          <c:showSerName val="0"/>
          <c:showPercent val="0"/>
          <c:showBubbleSize val="0"/>
        </c:dLbls>
        <c:gapWidth val="10"/>
        <c:axId val="1237332496"/>
        <c:axId val="639302608"/>
      </c:barChart>
      <c:lineChart>
        <c:grouping val="standard"/>
        <c:varyColors val="0"/>
        <c:ser>
          <c:idx val="0"/>
          <c:order val="0"/>
          <c:tx>
            <c:strRef>
              <c:f>Output!$B$39</c:f>
              <c:strCache>
                <c:ptCount val="1"/>
                <c:pt idx="0">
                  <c:v>P　(Success)</c:v>
                </c:pt>
              </c:strCache>
            </c:strRef>
          </c:tx>
          <c:spPr>
            <a:ln w="47625" cap="rnd">
              <a:solidFill>
                <a:schemeClr val="accent1"/>
              </a:solidFill>
              <a:prstDash val="sysDash"/>
              <a:round/>
            </a:ln>
            <a:effectLst/>
          </c:spPr>
          <c:marker>
            <c:symbol val="none"/>
          </c:marker>
          <c:cat>
            <c:numRef>
              <c:f>Output!$A$40:$A$47</c:f>
              <c:numCache>
                <c:formatCode>m/d/yy</c:formatCode>
                <c:ptCount val="8"/>
                <c:pt idx="0">
                  <c:v>43831</c:v>
                </c:pt>
                <c:pt idx="1">
                  <c:v>43862</c:v>
                </c:pt>
                <c:pt idx="2">
                  <c:v>43891</c:v>
                </c:pt>
                <c:pt idx="3">
                  <c:v>43922</c:v>
                </c:pt>
                <c:pt idx="4">
                  <c:v>43983</c:v>
                </c:pt>
                <c:pt idx="5">
                  <c:v>44044</c:v>
                </c:pt>
                <c:pt idx="6">
                  <c:v>44075</c:v>
                </c:pt>
                <c:pt idx="7">
                  <c:v>44228</c:v>
                </c:pt>
              </c:numCache>
            </c:numRef>
          </c:cat>
          <c:val>
            <c:numRef>
              <c:f>Output!$B$40:$B$48</c:f>
              <c:numCache>
                <c:formatCode>0.0%</c:formatCode>
                <c:ptCount val="9"/>
                <c:pt idx="0">
                  <c:v>0.17714700000000005</c:v>
                </c:pt>
                <c:pt idx="1">
                  <c:v>0.19683000000000003</c:v>
                </c:pt>
                <c:pt idx="2">
                  <c:v>0.21870000000000003</c:v>
                </c:pt>
                <c:pt idx="3">
                  <c:v>0.24300000000000002</c:v>
                </c:pt>
                <c:pt idx="4">
                  <c:v>0.32400000000000007</c:v>
                </c:pt>
                <c:pt idx="5">
                  <c:v>0.36000000000000004</c:v>
                </c:pt>
                <c:pt idx="6">
                  <c:v>0.9</c:v>
                </c:pt>
                <c:pt idx="7">
                  <c:v>1</c:v>
                </c:pt>
                <c:pt idx="8">
                  <c:v>1</c:v>
                </c:pt>
              </c:numCache>
            </c:numRef>
          </c:val>
          <c:smooth val="0"/>
          <c:extLst>
            <c:ext xmlns:c16="http://schemas.microsoft.com/office/drawing/2014/chart" uri="{C3380CC4-5D6E-409C-BE32-E72D297353CC}">
              <c16:uniqueId val="{00000000-16AB-4387-BEE8-F0F73A4B34EC}"/>
            </c:ext>
          </c:extLst>
        </c:ser>
        <c:dLbls>
          <c:showLegendKey val="0"/>
          <c:showVal val="0"/>
          <c:showCatName val="0"/>
          <c:showSerName val="0"/>
          <c:showPercent val="0"/>
          <c:showBubbleSize val="0"/>
        </c:dLbls>
        <c:marker val="1"/>
        <c:smooth val="0"/>
        <c:axId val="1450755680"/>
        <c:axId val="1449776080"/>
      </c:lineChart>
      <c:dateAx>
        <c:axId val="1237332496"/>
        <c:scaling>
          <c:orientation val="minMax"/>
        </c:scaling>
        <c:delete val="0"/>
        <c:axPos val="b"/>
        <c:numFmt formatCode="m/d/yy" sourceLinked="1"/>
        <c:majorTickMark val="out"/>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02608"/>
        <c:crosses val="autoZero"/>
        <c:auto val="1"/>
        <c:lblOffset val="100"/>
        <c:baseTimeUnit val="months"/>
      </c:dateAx>
      <c:valAx>
        <c:axId val="639302608"/>
        <c:scaling>
          <c:orientation val="minMax"/>
          <c:max val="200000"/>
          <c:min val="-1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332496"/>
        <c:crosses val="autoZero"/>
        <c:crossBetween val="between"/>
      </c:valAx>
      <c:valAx>
        <c:axId val="1449776080"/>
        <c:scaling>
          <c:orientation val="minMax"/>
          <c:max val="1"/>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0755680"/>
        <c:crosses val="max"/>
        <c:crossBetween val="between"/>
      </c:valAx>
      <c:dateAx>
        <c:axId val="1450755680"/>
        <c:scaling>
          <c:orientation val="minMax"/>
        </c:scaling>
        <c:delete val="1"/>
        <c:axPos val="b"/>
        <c:numFmt formatCode="m/d/yy" sourceLinked="1"/>
        <c:majorTickMark val="out"/>
        <c:minorTickMark val="none"/>
        <c:tickLblPos val="nextTo"/>
        <c:crossAx val="1449776080"/>
        <c:crosses val="autoZero"/>
        <c:auto val="1"/>
        <c:lblOffset val="100"/>
        <c:baseTimeUnit val="months"/>
        <c:majorUnit val="1"/>
        <c:minorUnit val="1"/>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E$26" horiz="1" max="100" page="10" val="50"/>
</file>

<file path=xl/ctrlProps/ctrlProp2.xml><?xml version="1.0" encoding="utf-8"?>
<formControlPr xmlns="http://schemas.microsoft.com/office/spreadsheetml/2009/9/main" objectType="Scroll" dx="22" fmlaLink="$E$28" horiz="1" max="100" page="10" val="50"/>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25</xdr:row>
          <xdr:rowOff>0</xdr:rowOff>
        </xdr:from>
        <xdr:to>
          <xdr:col>5</xdr:col>
          <xdr:colOff>0</xdr:colOff>
          <xdr:row>26</xdr:row>
          <xdr:rowOff>0</xdr:rowOff>
        </xdr:to>
        <xdr:sp macro="" textlink="">
          <xdr:nvSpPr>
            <xdr:cNvPr id="2049" name="Scroll Bar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27</xdr:row>
          <xdr:rowOff>0</xdr:rowOff>
        </xdr:from>
        <xdr:to>
          <xdr:col>5</xdr:col>
          <xdr:colOff>0</xdr:colOff>
          <xdr:row>28</xdr:row>
          <xdr:rowOff>0</xdr:rowOff>
        </xdr:to>
        <xdr:sp macro="" textlink="">
          <xdr:nvSpPr>
            <xdr:cNvPr id="2050" name="Scroll Bar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38100</xdr:rowOff>
    </xdr:from>
    <xdr:to>
      <xdr:col>7</xdr:col>
      <xdr:colOff>1057274</xdr:colOff>
      <xdr:row>23</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38</xdr:row>
      <xdr:rowOff>47622</xdr:rowOff>
    </xdr:from>
    <xdr:to>
      <xdr:col>7</xdr:col>
      <xdr:colOff>1352549</xdr:colOff>
      <xdr:row>62</xdr:row>
      <xdr:rowOff>95249</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rporatestartuplab.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rporatestartuplab.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0"/>
  <sheetViews>
    <sheetView tabSelected="1" workbookViewId="0">
      <selection activeCell="C13" sqref="C13"/>
    </sheetView>
  </sheetViews>
  <sheetFormatPr baseColWidth="10" defaultColWidth="11.33203125" defaultRowHeight="15" x14ac:dyDescent="0.2"/>
  <cols>
    <col min="1" max="1" width="26.33203125" customWidth="1"/>
    <col min="2" max="2" width="3.6640625" customWidth="1"/>
    <col min="3" max="3" width="24.83203125" customWidth="1"/>
    <col min="4" max="4" width="3.1640625" customWidth="1"/>
    <col min="5" max="5" width="49.83203125" customWidth="1"/>
    <col min="6" max="6" width="3.83203125" customWidth="1"/>
    <col min="7" max="7" width="24.83203125" customWidth="1"/>
  </cols>
  <sheetData>
    <row r="1" spans="1:7" ht="43" customHeight="1" x14ac:dyDescent="0.45">
      <c r="A1" s="6" t="s">
        <v>11</v>
      </c>
    </row>
    <row r="2" spans="1:7" ht="6" customHeight="1" x14ac:dyDescent="0.2">
      <c r="A2" s="7"/>
      <c r="B2" s="7"/>
      <c r="C2" s="7"/>
      <c r="D2" s="7"/>
      <c r="E2" s="7"/>
      <c r="F2" s="7"/>
      <c r="G2" s="7"/>
    </row>
    <row r="3" spans="1:7" x14ac:dyDescent="0.2">
      <c r="A3" s="36" t="s">
        <v>54</v>
      </c>
      <c r="G3" s="13" t="s">
        <v>13</v>
      </c>
    </row>
    <row r="4" spans="1:7" ht="4.5" customHeight="1" x14ac:dyDescent="0.2">
      <c r="A4" s="36"/>
      <c r="G4" s="13"/>
    </row>
    <row r="5" spans="1:7" ht="21" x14ac:dyDescent="0.25">
      <c r="A5" s="12" t="s">
        <v>12</v>
      </c>
      <c r="G5" s="8"/>
    </row>
    <row r="6" spans="1:7" ht="95.25" customHeight="1" x14ac:dyDescent="0.2">
      <c r="A6" s="98" t="s">
        <v>55</v>
      </c>
      <c r="B6" s="99"/>
      <c r="C6" s="99"/>
      <c r="D6" s="99"/>
      <c r="E6" s="99"/>
      <c r="F6" s="99"/>
      <c r="G6" s="99"/>
    </row>
    <row r="7" spans="1:7" ht="16" customHeight="1" x14ac:dyDescent="0.2">
      <c r="A7" s="11"/>
      <c r="B7" s="11"/>
      <c r="C7" s="11"/>
      <c r="D7" s="11"/>
      <c r="E7" s="11"/>
      <c r="F7" s="11"/>
      <c r="G7" s="11"/>
    </row>
    <row r="8" spans="1:7" ht="21" x14ac:dyDescent="0.25">
      <c r="A8" s="12" t="s">
        <v>31</v>
      </c>
    </row>
    <row r="9" spans="1:7" ht="38" customHeight="1" x14ac:dyDescent="0.2">
      <c r="A9" s="100" t="s">
        <v>36</v>
      </c>
      <c r="B9" s="99"/>
      <c r="C9" s="99"/>
      <c r="D9" s="99"/>
      <c r="E9" s="99"/>
      <c r="F9" s="99"/>
      <c r="G9" s="99"/>
    </row>
    <row r="10" spans="1:7" ht="16" thickBot="1" x14ac:dyDescent="0.25"/>
    <row r="11" spans="1:7" ht="35" thickBot="1" x14ac:dyDescent="0.25">
      <c r="A11" s="14" t="s">
        <v>14</v>
      </c>
      <c r="C11" s="38" t="s">
        <v>56</v>
      </c>
    </row>
    <row r="12" spans="1:7" ht="17" thickBot="1" x14ac:dyDescent="0.25">
      <c r="A12" s="15"/>
      <c r="C12" s="37"/>
    </row>
    <row r="13" spans="1:7" ht="35" thickBot="1" x14ac:dyDescent="0.25">
      <c r="A13" s="14" t="s">
        <v>33</v>
      </c>
      <c r="C13" s="38"/>
      <c r="E13" t="s">
        <v>34</v>
      </c>
    </row>
    <row r="14" spans="1:7" ht="17" thickBot="1" x14ac:dyDescent="0.25">
      <c r="A14" s="15"/>
      <c r="C14" s="37"/>
    </row>
    <row r="15" spans="1:7" ht="18" thickBot="1" x14ac:dyDescent="0.25">
      <c r="A15" s="14" t="s">
        <v>22</v>
      </c>
      <c r="C15" s="38">
        <v>1</v>
      </c>
      <c r="E15" t="s">
        <v>30</v>
      </c>
    </row>
    <row r="16" spans="1:7" ht="20" customHeight="1" x14ac:dyDescent="0.2"/>
    <row r="17" spans="1:7" ht="6" customHeight="1" x14ac:dyDescent="0.2">
      <c r="A17" s="7"/>
      <c r="B17" s="7"/>
      <c r="C17" s="7"/>
      <c r="D17" s="7"/>
      <c r="E17" s="7"/>
      <c r="F17" s="7"/>
      <c r="G17" s="7"/>
    </row>
    <row r="18" spans="1:7" ht="21" x14ac:dyDescent="0.25">
      <c r="A18" s="34" t="s">
        <v>50</v>
      </c>
    </row>
    <row r="19" spans="1:7" ht="217" customHeight="1" x14ac:dyDescent="0.2">
      <c r="A19" s="100" t="s">
        <v>40</v>
      </c>
      <c r="B19" s="99"/>
      <c r="C19" s="99"/>
      <c r="D19" s="99"/>
      <c r="E19" s="99"/>
      <c r="F19" s="99"/>
      <c r="G19" s="99"/>
    </row>
    <row r="20" spans="1:7" ht="16" thickBot="1" x14ac:dyDescent="0.25"/>
    <row r="21" spans="1:7" ht="65" thickBot="1" x14ac:dyDescent="0.25">
      <c r="A21" s="22" t="s">
        <v>21</v>
      </c>
      <c r="C21" s="39" t="s">
        <v>57</v>
      </c>
      <c r="E21" s="21" t="s">
        <v>47</v>
      </c>
    </row>
    <row r="22" spans="1:7" ht="16" x14ac:dyDescent="0.2">
      <c r="A22" s="16"/>
    </row>
    <row r="23" spans="1:7" ht="16" x14ac:dyDescent="0.2">
      <c r="A23" s="16"/>
      <c r="B23" s="1"/>
      <c r="C23" s="1"/>
      <c r="D23" s="1"/>
      <c r="E23" s="1"/>
      <c r="F23" s="1"/>
    </row>
    <row r="24" spans="1:7" ht="16" x14ac:dyDescent="0.2">
      <c r="C24" s="17" t="s">
        <v>0</v>
      </c>
      <c r="E24" s="17" t="s">
        <v>2</v>
      </c>
      <c r="F24" s="16"/>
      <c r="G24" s="17" t="s">
        <v>1</v>
      </c>
    </row>
    <row r="25" spans="1:7" ht="10" customHeight="1" thickBot="1" x14ac:dyDescent="0.25">
      <c r="A25" s="16"/>
      <c r="B25" s="3"/>
      <c r="C25" s="1"/>
      <c r="D25" s="1"/>
      <c r="E25" s="1"/>
      <c r="G25" s="3"/>
    </row>
    <row r="26" spans="1:7" ht="17" thickBot="1" x14ac:dyDescent="0.25">
      <c r="A26" s="16" t="str">
        <f>IF(C21="","Units",CONCATENATE(C21,"(s)"))</f>
        <v>Product A(s)</v>
      </c>
      <c r="B26" s="2"/>
      <c r="C26" s="40">
        <v>10000</v>
      </c>
      <c r="E26" s="1">
        <v>50</v>
      </c>
      <c r="F26" s="5">
        <v>53</v>
      </c>
      <c r="G26" s="40">
        <v>20000</v>
      </c>
    </row>
    <row r="27" spans="1:7" ht="17" thickBot="1" x14ac:dyDescent="0.25">
      <c r="A27" s="16"/>
      <c r="B27" s="1"/>
      <c r="C27" s="1"/>
      <c r="D27" s="1"/>
      <c r="E27" s="1"/>
      <c r="F27" s="5"/>
      <c r="G27" s="1"/>
    </row>
    <row r="28" spans="1:7" ht="17" thickBot="1" x14ac:dyDescent="0.25">
      <c r="A28" s="16" t="str">
        <f>IF(C21="","Value/Unit",CONCATENATE("Value/", C21))</f>
        <v>Value/Product A</v>
      </c>
      <c r="B28" s="2"/>
      <c r="C28" s="41">
        <v>10</v>
      </c>
      <c r="D28" s="4"/>
      <c r="E28" s="4">
        <v>50</v>
      </c>
      <c r="F28" s="5">
        <v>54</v>
      </c>
      <c r="G28" s="41">
        <v>20</v>
      </c>
    </row>
    <row r="29" spans="1:7" x14ac:dyDescent="0.2">
      <c r="A29" s="1"/>
      <c r="B29" s="1"/>
      <c r="C29" s="42"/>
      <c r="D29" s="1"/>
      <c r="E29" s="1"/>
      <c r="F29" s="1"/>
      <c r="G29" s="37"/>
    </row>
    <row r="30" spans="1:7" ht="6" customHeight="1" x14ac:dyDescent="0.2">
      <c r="A30" s="7"/>
      <c r="B30" s="7"/>
      <c r="C30" s="7"/>
      <c r="D30" s="7"/>
      <c r="E30" s="7"/>
      <c r="F30" s="7"/>
      <c r="G30" s="7"/>
    </row>
    <row r="31" spans="1:7" ht="21" x14ac:dyDescent="0.25">
      <c r="A31" s="12" t="s">
        <v>32</v>
      </c>
    </row>
    <row r="32" spans="1:7" ht="144" customHeight="1" x14ac:dyDescent="0.2">
      <c r="A32" s="100" t="s">
        <v>39</v>
      </c>
      <c r="B32" s="99"/>
      <c r="C32" s="99"/>
      <c r="D32" s="99"/>
      <c r="E32" s="99"/>
      <c r="F32" s="99"/>
      <c r="G32" s="99"/>
    </row>
    <row r="33" spans="1:5" ht="16" x14ac:dyDescent="0.2">
      <c r="A33" s="62" t="s">
        <v>93</v>
      </c>
      <c r="B33" s="63"/>
      <c r="C33" s="78">
        <v>43831</v>
      </c>
      <c r="D33" s="63"/>
      <c r="E33" s="63"/>
    </row>
    <row r="34" spans="1:5" ht="16" x14ac:dyDescent="0.2">
      <c r="A34" s="62" t="s">
        <v>92</v>
      </c>
      <c r="B34" s="63"/>
      <c r="C34" s="65">
        <v>4.4999999999999998E-2</v>
      </c>
      <c r="D34" s="63"/>
      <c r="E34" s="64" t="s">
        <v>73</v>
      </c>
    </row>
    <row r="35" spans="1:5" ht="17" thickBot="1" x14ac:dyDescent="0.25">
      <c r="A35" s="10" t="s">
        <v>15</v>
      </c>
    </row>
    <row r="36" spans="1:5" ht="49" thickBot="1" x14ac:dyDescent="0.25">
      <c r="A36" s="18" t="s">
        <v>6</v>
      </c>
      <c r="C36" s="47" t="s">
        <v>58</v>
      </c>
      <c r="E36" s="9" t="s">
        <v>35</v>
      </c>
    </row>
    <row r="37" spans="1:5" ht="18" thickBot="1" x14ac:dyDescent="0.25">
      <c r="A37" s="18" t="s">
        <v>7</v>
      </c>
      <c r="C37" s="43"/>
      <c r="E37" s="9" t="s">
        <v>19</v>
      </c>
    </row>
    <row r="38" spans="1:5" ht="35" thickBot="1" x14ac:dyDescent="0.25">
      <c r="A38" s="18" t="s">
        <v>8</v>
      </c>
      <c r="C38" s="43"/>
      <c r="E38" s="9" t="s">
        <v>18</v>
      </c>
    </row>
    <row r="39" spans="1:5" ht="52" thickBot="1" x14ac:dyDescent="0.25">
      <c r="A39" s="18" t="s">
        <v>10</v>
      </c>
      <c r="C39" s="44">
        <v>0.9</v>
      </c>
      <c r="E39" s="21" t="s">
        <v>51</v>
      </c>
    </row>
    <row r="40" spans="1:5" ht="18" thickBot="1" x14ac:dyDescent="0.25">
      <c r="A40" s="18" t="s">
        <v>16</v>
      </c>
      <c r="C40" s="45">
        <v>20000</v>
      </c>
      <c r="E40" s="9" t="s">
        <v>17</v>
      </c>
    </row>
    <row r="41" spans="1:5" ht="16" x14ac:dyDescent="0.2">
      <c r="A41" s="62" t="s">
        <v>84</v>
      </c>
      <c r="B41" s="63"/>
      <c r="C41" s="69">
        <v>43862</v>
      </c>
      <c r="D41" s="63"/>
      <c r="E41" s="64" t="s">
        <v>72</v>
      </c>
    </row>
    <row r="42" spans="1:5" ht="17" thickBot="1" x14ac:dyDescent="0.25">
      <c r="A42" s="10" t="s">
        <v>23</v>
      </c>
      <c r="C42" s="46"/>
    </row>
    <row r="43" spans="1:5" ht="49" thickBot="1" x14ac:dyDescent="0.25">
      <c r="A43" s="18" t="s">
        <v>6</v>
      </c>
      <c r="C43" s="47" t="s">
        <v>59</v>
      </c>
      <c r="E43" s="9" t="s">
        <v>20</v>
      </c>
    </row>
    <row r="44" spans="1:5" ht="18" thickBot="1" x14ac:dyDescent="0.25">
      <c r="A44" s="18" t="s">
        <v>7</v>
      </c>
      <c r="C44" s="47"/>
      <c r="E44" s="9" t="s">
        <v>19</v>
      </c>
    </row>
    <row r="45" spans="1:5" ht="35" thickBot="1" x14ac:dyDescent="0.25">
      <c r="A45" s="18" t="s">
        <v>8</v>
      </c>
      <c r="C45" s="47"/>
      <c r="E45" s="9" t="s">
        <v>18</v>
      </c>
    </row>
    <row r="46" spans="1:5" ht="52" thickBot="1" x14ac:dyDescent="0.25">
      <c r="A46" s="18" t="s">
        <v>10</v>
      </c>
      <c r="C46" s="44">
        <v>0.9</v>
      </c>
      <c r="E46" s="21" t="s">
        <v>51</v>
      </c>
    </row>
    <row r="47" spans="1:5" ht="18" thickBot="1" x14ac:dyDescent="0.25">
      <c r="A47" s="18" t="s">
        <v>16</v>
      </c>
      <c r="C47" s="45">
        <v>20000</v>
      </c>
      <c r="E47" s="9" t="s">
        <v>17</v>
      </c>
    </row>
    <row r="48" spans="1:5" ht="16" x14ac:dyDescent="0.2">
      <c r="A48" s="62" t="s">
        <v>84</v>
      </c>
      <c r="B48" s="63"/>
      <c r="C48" s="69">
        <v>43891</v>
      </c>
      <c r="D48" s="63"/>
      <c r="E48" s="64" t="s">
        <v>72</v>
      </c>
    </row>
    <row r="49" spans="1:5" ht="17" thickBot="1" x14ac:dyDescent="0.25">
      <c r="A49" s="10" t="s">
        <v>24</v>
      </c>
      <c r="C49" s="46"/>
    </row>
    <row r="50" spans="1:5" ht="49" thickBot="1" x14ac:dyDescent="0.25">
      <c r="A50" s="18" t="s">
        <v>6</v>
      </c>
      <c r="C50" s="47" t="s">
        <v>61</v>
      </c>
      <c r="E50" s="9" t="s">
        <v>20</v>
      </c>
    </row>
    <row r="51" spans="1:5" ht="18" thickBot="1" x14ac:dyDescent="0.25">
      <c r="A51" s="18" t="s">
        <v>7</v>
      </c>
      <c r="C51" s="47"/>
      <c r="E51" s="9" t="s">
        <v>19</v>
      </c>
    </row>
    <row r="52" spans="1:5" ht="35" thickBot="1" x14ac:dyDescent="0.25">
      <c r="A52" s="18" t="s">
        <v>8</v>
      </c>
      <c r="C52" s="43"/>
      <c r="E52" s="9" t="s">
        <v>18</v>
      </c>
    </row>
    <row r="53" spans="1:5" ht="52" thickBot="1" x14ac:dyDescent="0.25">
      <c r="A53" s="18" t="s">
        <v>10</v>
      </c>
      <c r="C53" s="44">
        <v>0.9</v>
      </c>
      <c r="E53" s="21" t="s">
        <v>51</v>
      </c>
    </row>
    <row r="54" spans="1:5" ht="18" thickBot="1" x14ac:dyDescent="0.25">
      <c r="A54" s="18" t="s">
        <v>16</v>
      </c>
      <c r="C54" s="45">
        <v>30000</v>
      </c>
      <c r="E54" s="9" t="s">
        <v>17</v>
      </c>
    </row>
    <row r="55" spans="1:5" ht="16" x14ac:dyDescent="0.2">
      <c r="A55" s="62" t="s">
        <v>84</v>
      </c>
      <c r="B55" s="63"/>
      <c r="C55" s="69">
        <v>43922</v>
      </c>
      <c r="D55" s="63"/>
      <c r="E55" s="64" t="s">
        <v>72</v>
      </c>
    </row>
    <row r="56" spans="1:5" ht="17" thickBot="1" x14ac:dyDescent="0.25">
      <c r="A56" s="10" t="s">
        <v>25</v>
      </c>
      <c r="C56" s="46"/>
    </row>
    <row r="57" spans="1:5" ht="49" thickBot="1" x14ac:dyDescent="0.25">
      <c r="A57" s="18" t="s">
        <v>6</v>
      </c>
      <c r="C57" s="47" t="s">
        <v>60</v>
      </c>
      <c r="E57" s="9" t="s">
        <v>20</v>
      </c>
    </row>
    <row r="58" spans="1:5" ht="18" thickBot="1" x14ac:dyDescent="0.25">
      <c r="A58" s="18" t="s">
        <v>7</v>
      </c>
      <c r="C58" s="43"/>
      <c r="E58" s="9" t="s">
        <v>19</v>
      </c>
    </row>
    <row r="59" spans="1:5" ht="35" thickBot="1" x14ac:dyDescent="0.25">
      <c r="A59" s="18" t="s">
        <v>8</v>
      </c>
      <c r="C59" s="43"/>
      <c r="E59" s="9" t="s">
        <v>18</v>
      </c>
    </row>
    <row r="60" spans="1:5" ht="52" thickBot="1" x14ac:dyDescent="0.25">
      <c r="A60" s="18" t="s">
        <v>10</v>
      </c>
      <c r="C60" s="44">
        <v>0.9</v>
      </c>
      <c r="E60" s="21" t="s">
        <v>51</v>
      </c>
    </row>
    <row r="61" spans="1:5" ht="18" thickBot="1" x14ac:dyDescent="0.25">
      <c r="A61" s="18" t="s">
        <v>16</v>
      </c>
      <c r="C61" s="45">
        <v>40000</v>
      </c>
      <c r="E61" s="9" t="s">
        <v>17</v>
      </c>
    </row>
    <row r="62" spans="1:5" ht="16" x14ac:dyDescent="0.2">
      <c r="A62" s="62" t="s">
        <v>84</v>
      </c>
      <c r="B62" s="63"/>
      <c r="C62" s="69">
        <v>43983</v>
      </c>
      <c r="D62" s="63"/>
      <c r="E62" s="64" t="s">
        <v>72</v>
      </c>
    </row>
    <row r="63" spans="1:5" ht="17" thickBot="1" x14ac:dyDescent="0.25">
      <c r="A63" s="10" t="s">
        <v>26</v>
      </c>
      <c r="C63" s="46"/>
    </row>
    <row r="64" spans="1:5" ht="49" thickBot="1" x14ac:dyDescent="0.25">
      <c r="A64" s="18" t="s">
        <v>6</v>
      </c>
      <c r="C64" s="47" t="s">
        <v>62</v>
      </c>
      <c r="E64" s="9" t="s">
        <v>20</v>
      </c>
    </row>
    <row r="65" spans="1:5" ht="18" thickBot="1" x14ac:dyDescent="0.25">
      <c r="A65" s="18" t="s">
        <v>7</v>
      </c>
      <c r="C65" s="43"/>
      <c r="E65" s="9" t="s">
        <v>19</v>
      </c>
    </row>
    <row r="66" spans="1:5" ht="35" thickBot="1" x14ac:dyDescent="0.25">
      <c r="A66" s="18" t="s">
        <v>8</v>
      </c>
      <c r="C66" s="43"/>
      <c r="E66" s="9" t="s">
        <v>18</v>
      </c>
    </row>
    <row r="67" spans="1:5" ht="52" thickBot="1" x14ac:dyDescent="0.25">
      <c r="A67" s="18" t="s">
        <v>10</v>
      </c>
      <c r="C67" s="44">
        <v>0.75</v>
      </c>
      <c r="E67" s="21" t="s">
        <v>51</v>
      </c>
    </row>
    <row r="68" spans="1:5" ht="18" thickBot="1" x14ac:dyDescent="0.25">
      <c r="A68" s="18" t="s">
        <v>16</v>
      </c>
      <c r="C68" s="45">
        <v>30000</v>
      </c>
      <c r="E68" s="9" t="s">
        <v>17</v>
      </c>
    </row>
    <row r="69" spans="1:5" ht="16" x14ac:dyDescent="0.2">
      <c r="A69" s="62" t="s">
        <v>84</v>
      </c>
      <c r="B69" s="63"/>
      <c r="C69" s="69">
        <v>44044</v>
      </c>
      <c r="D69" s="63"/>
      <c r="E69" s="64" t="s">
        <v>72</v>
      </c>
    </row>
    <row r="70" spans="1:5" ht="17" thickBot="1" x14ac:dyDescent="0.25">
      <c r="A70" s="10" t="s">
        <v>27</v>
      </c>
      <c r="C70" s="46"/>
    </row>
    <row r="71" spans="1:5" ht="49" thickBot="1" x14ac:dyDescent="0.25">
      <c r="A71" s="18" t="s">
        <v>6</v>
      </c>
      <c r="C71" s="47" t="s">
        <v>63</v>
      </c>
      <c r="E71" s="9" t="s">
        <v>20</v>
      </c>
    </row>
    <row r="72" spans="1:5" ht="18" thickBot="1" x14ac:dyDescent="0.25">
      <c r="A72" s="18" t="s">
        <v>7</v>
      </c>
      <c r="C72" s="43"/>
      <c r="E72" s="9" t="s">
        <v>19</v>
      </c>
    </row>
    <row r="73" spans="1:5" ht="35" thickBot="1" x14ac:dyDescent="0.25">
      <c r="A73" s="18" t="s">
        <v>8</v>
      </c>
      <c r="C73" s="43"/>
      <c r="E73" s="9" t="s">
        <v>18</v>
      </c>
    </row>
    <row r="74" spans="1:5" ht="52" thickBot="1" x14ac:dyDescent="0.25">
      <c r="A74" s="18" t="s">
        <v>10</v>
      </c>
      <c r="C74" s="44">
        <v>0.9</v>
      </c>
      <c r="E74" s="21" t="s">
        <v>51</v>
      </c>
    </row>
    <row r="75" spans="1:5" ht="18" thickBot="1" x14ac:dyDescent="0.25">
      <c r="A75" s="18" t="s">
        <v>16</v>
      </c>
      <c r="C75" s="45">
        <v>20000</v>
      </c>
      <c r="E75" s="9" t="s">
        <v>17</v>
      </c>
    </row>
    <row r="76" spans="1:5" ht="16" x14ac:dyDescent="0.2">
      <c r="A76" s="62" t="s">
        <v>84</v>
      </c>
      <c r="B76" s="63"/>
      <c r="C76" s="69">
        <v>44075</v>
      </c>
      <c r="D76" s="63"/>
      <c r="E76" s="64" t="s">
        <v>72</v>
      </c>
    </row>
    <row r="77" spans="1:5" ht="17" thickBot="1" x14ac:dyDescent="0.25">
      <c r="A77" s="10" t="s">
        <v>28</v>
      </c>
      <c r="C77" s="46"/>
    </row>
    <row r="78" spans="1:5" ht="49" thickBot="1" x14ac:dyDescent="0.25">
      <c r="A78" s="18" t="s">
        <v>6</v>
      </c>
      <c r="C78" s="47" t="s">
        <v>91</v>
      </c>
      <c r="E78" s="9" t="s">
        <v>20</v>
      </c>
    </row>
    <row r="79" spans="1:5" ht="18" thickBot="1" x14ac:dyDescent="0.25">
      <c r="A79" s="18" t="s">
        <v>7</v>
      </c>
      <c r="C79" s="43"/>
      <c r="E79" s="9" t="s">
        <v>19</v>
      </c>
    </row>
    <row r="80" spans="1:5" ht="35" thickBot="1" x14ac:dyDescent="0.25">
      <c r="A80" s="18" t="s">
        <v>8</v>
      </c>
      <c r="C80" s="43"/>
      <c r="E80" s="9" t="s">
        <v>18</v>
      </c>
    </row>
    <row r="81" spans="1:5" ht="52" thickBot="1" x14ac:dyDescent="0.25">
      <c r="A81" s="18" t="s">
        <v>10</v>
      </c>
      <c r="C81" s="44">
        <v>0.4</v>
      </c>
      <c r="E81" s="21" t="s">
        <v>51</v>
      </c>
    </row>
    <row r="82" spans="1:5" ht="18" thickBot="1" x14ac:dyDescent="0.25">
      <c r="A82" s="18" t="s">
        <v>16</v>
      </c>
      <c r="C82" s="45">
        <v>10000</v>
      </c>
      <c r="E82" s="9" t="s">
        <v>17</v>
      </c>
    </row>
    <row r="83" spans="1:5" ht="16" x14ac:dyDescent="0.2">
      <c r="A83" s="62" t="s">
        <v>84</v>
      </c>
      <c r="B83" s="63"/>
      <c r="C83" s="69">
        <v>44228</v>
      </c>
      <c r="D83" s="63"/>
      <c r="E83" s="64" t="s">
        <v>72</v>
      </c>
    </row>
    <row r="84" spans="1:5" ht="17" thickBot="1" x14ac:dyDescent="0.25">
      <c r="A84" s="10" t="s">
        <v>29</v>
      </c>
      <c r="C84" s="46"/>
    </row>
    <row r="85" spans="1:5" ht="49" thickBot="1" x14ac:dyDescent="0.25">
      <c r="A85" s="18" t="s">
        <v>6</v>
      </c>
      <c r="C85" s="47" t="s">
        <v>88</v>
      </c>
      <c r="E85" s="9" t="s">
        <v>20</v>
      </c>
    </row>
    <row r="86" spans="1:5" ht="18" thickBot="1" x14ac:dyDescent="0.25">
      <c r="A86" s="18" t="s">
        <v>7</v>
      </c>
      <c r="C86" s="43"/>
      <c r="E86" s="9" t="s">
        <v>19</v>
      </c>
    </row>
    <row r="87" spans="1:5" ht="35" thickBot="1" x14ac:dyDescent="0.25">
      <c r="A87" s="18" t="s">
        <v>8</v>
      </c>
      <c r="C87" s="43"/>
      <c r="E87" s="9" t="s">
        <v>18</v>
      </c>
    </row>
    <row r="88" spans="1:5" ht="52" thickBot="1" x14ac:dyDescent="0.25">
      <c r="A88" s="18" t="s">
        <v>10</v>
      </c>
      <c r="C88" s="44">
        <v>0.9</v>
      </c>
      <c r="E88" s="21" t="s">
        <v>51</v>
      </c>
    </row>
    <row r="89" spans="1:5" ht="18" thickBot="1" x14ac:dyDescent="0.25">
      <c r="A89" s="18" t="s">
        <v>16</v>
      </c>
      <c r="C89" s="45">
        <v>10000</v>
      </c>
      <c r="E89" s="9" t="s">
        <v>17</v>
      </c>
    </row>
    <row r="90" spans="1:5" ht="16" x14ac:dyDescent="0.2">
      <c r="A90" s="62" t="s">
        <v>84</v>
      </c>
      <c r="B90" s="63"/>
      <c r="C90" s="69">
        <v>44348</v>
      </c>
      <c r="D90" s="63"/>
      <c r="E90" s="64" t="s">
        <v>72</v>
      </c>
    </row>
  </sheetData>
  <sheetProtection formatCells="0" formatColumns="0" formatRows="0"/>
  <mergeCells count="4">
    <mergeCell ref="A6:G6"/>
    <mergeCell ref="A9:G9"/>
    <mergeCell ref="A19:G19"/>
    <mergeCell ref="A32:G32"/>
  </mergeCells>
  <hyperlinks>
    <hyperlink ref="A3" r:id="rId1"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nchor moveWithCells="1">
                  <from>
                    <xdr:col>4</xdr:col>
                    <xdr:colOff>12700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2050" r:id="rId6" name="Scroll Bar 2">
              <controlPr defaultSize="0" autoPict="0">
                <anchor moveWithCells="1">
                  <from>
                    <xdr:col>4</xdr:col>
                    <xdr:colOff>12700</xdr:colOff>
                    <xdr:row>27</xdr:row>
                    <xdr:rowOff>0</xdr:rowOff>
                  </from>
                  <to>
                    <xdr:col>5</xdr:col>
                    <xdr:colOff>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8"/>
  <sheetViews>
    <sheetView showGridLines="0" zoomScale="50" zoomScaleNormal="50" workbookViewId="0">
      <selection activeCell="O12" sqref="O12"/>
    </sheetView>
  </sheetViews>
  <sheetFormatPr baseColWidth="10" defaultColWidth="11.33203125" defaultRowHeight="15" x14ac:dyDescent="0.2"/>
  <cols>
    <col min="1" max="1" width="26.83203125" bestFit="1" customWidth="1"/>
    <col min="2" max="2" width="14.6640625" bestFit="1" customWidth="1"/>
    <col min="3" max="3" width="15.5" bestFit="1" customWidth="1"/>
    <col min="4" max="4" width="16.6640625" bestFit="1" customWidth="1"/>
    <col min="5" max="5" width="3.1640625" customWidth="1"/>
    <col min="6" max="6" width="22.83203125" bestFit="1" customWidth="1"/>
    <col min="7" max="7" width="2.1640625" customWidth="1"/>
    <col min="8" max="8" width="22.6640625" bestFit="1" customWidth="1"/>
    <col min="9" max="9" width="8.83203125" bestFit="1" customWidth="1"/>
    <col min="10" max="10" width="9.6640625" bestFit="1" customWidth="1"/>
    <col min="11" max="11" width="11.33203125" customWidth="1"/>
    <col min="12" max="12" width="16.1640625" style="48" customWidth="1"/>
    <col min="13" max="13" width="12.5" bestFit="1" customWidth="1"/>
    <col min="14" max="14" width="16.6640625" bestFit="1" customWidth="1"/>
    <col min="15" max="15" width="14.33203125" bestFit="1" customWidth="1"/>
    <col min="16" max="16" width="16.6640625" customWidth="1"/>
    <col min="17" max="17" width="12.5" bestFit="1" customWidth="1"/>
    <col min="18" max="18" width="11.5" bestFit="1" customWidth="1"/>
    <col min="23" max="24" width="13" customWidth="1"/>
    <col min="25" max="25" width="11.83203125" bestFit="1" customWidth="1"/>
  </cols>
  <sheetData>
    <row r="1" spans="1:11" ht="43" customHeight="1" x14ac:dyDescent="0.45">
      <c r="A1" s="6" t="str">
        <f>IF('Instructions &amp; Input'!C11="","Corporate Startup Idea",'Instructions &amp; Input'!C11)</f>
        <v>Sample 1</v>
      </c>
    </row>
    <row r="2" spans="1:11" ht="6" customHeight="1" x14ac:dyDescent="0.2">
      <c r="A2" s="7"/>
      <c r="B2" s="7"/>
      <c r="C2" s="7"/>
      <c r="D2" s="7"/>
      <c r="E2" s="7"/>
      <c r="F2" s="7"/>
      <c r="G2" s="7"/>
      <c r="H2" s="7"/>
    </row>
    <row r="3" spans="1:11" x14ac:dyDescent="0.2">
      <c r="A3" s="36" t="s">
        <v>54</v>
      </c>
      <c r="D3" s="20" t="s">
        <v>37</v>
      </c>
      <c r="F3" s="37" t="str">
        <f>IF('Instructions &amp; Input'!C13="","&lt;Enter Your Name on Input Worksheet&gt;",'Instructions &amp; Input'!C13)</f>
        <v>&lt;Enter Your Name on Input Worksheet&gt;</v>
      </c>
    </row>
    <row r="4" spans="1:11" x14ac:dyDescent="0.2">
      <c r="D4" s="20" t="s">
        <v>38</v>
      </c>
      <c r="F4" s="37">
        <f>IF('Instructions &amp; Input'!C15="","&lt;Enter Your Version on Input Worksheet&gt;",'Instructions &amp; Input'!C15)</f>
        <v>1</v>
      </c>
    </row>
    <row r="5" spans="1:11" ht="7" customHeight="1" x14ac:dyDescent="0.2"/>
    <row r="6" spans="1:11" ht="6" customHeight="1" x14ac:dyDescent="0.2">
      <c r="A6" s="7"/>
      <c r="B6" s="7"/>
      <c r="C6" s="7"/>
      <c r="D6" s="7"/>
      <c r="E6" s="7"/>
      <c r="F6" s="7"/>
      <c r="G6" s="7"/>
      <c r="H6" s="7"/>
    </row>
    <row r="7" spans="1:11" ht="21" x14ac:dyDescent="0.25">
      <c r="A7" s="107" t="s">
        <v>48</v>
      </c>
      <c r="B7" s="107"/>
      <c r="C7" s="107"/>
      <c r="D7" s="107"/>
      <c r="E7" s="52"/>
      <c r="F7" s="108" t="s">
        <v>64</v>
      </c>
      <c r="G7" s="108"/>
      <c r="H7" s="55">
        <f>SMALL($K$27:$K$34,COUNTIF(B27:B34,0)+1)*MAX($M$27:$M$34)</f>
        <v>7174.4535000000024</v>
      </c>
      <c r="I7" s="56" t="s">
        <v>65</v>
      </c>
      <c r="J7" s="57">
        <f>H7/SUM($D$27:$D$34)</f>
        <v>3.9858075000000014E-2</v>
      </c>
      <c r="K7" t="s">
        <v>68</v>
      </c>
    </row>
    <row r="8" spans="1:11" ht="21" x14ac:dyDescent="0.25">
      <c r="A8" s="53"/>
      <c r="B8" s="53"/>
      <c r="C8" s="53"/>
      <c r="D8" s="53"/>
      <c r="E8" s="52"/>
      <c r="F8" s="54" t="s">
        <v>67</v>
      </c>
      <c r="G8" s="54"/>
      <c r="H8" s="55">
        <f>MAX(M27:M34)</f>
        <v>45000</v>
      </c>
      <c r="I8" s="56" t="s">
        <v>65</v>
      </c>
      <c r="J8" s="57">
        <f>H8/SUM($D$27:$D$34)</f>
        <v>0.25</v>
      </c>
      <c r="K8" t="s">
        <v>66</v>
      </c>
    </row>
    <row r="9" spans="1:11" x14ac:dyDescent="0.2">
      <c r="B9" s="35" t="str">
        <f>"Value / "&amp;UnitLabel</f>
        <v>Value / Product A</v>
      </c>
      <c r="K9" s="49"/>
    </row>
    <row r="10" spans="1:11" x14ac:dyDescent="0.2">
      <c r="B10" t="str">
        <f>UnitLabel&amp;" Total"</f>
        <v>Product A Total</v>
      </c>
      <c r="C10" t="s">
        <v>3</v>
      </c>
      <c r="D10" t="s">
        <v>4</v>
      </c>
      <c r="E10" s="25" t="s">
        <v>5</v>
      </c>
      <c r="K10" s="50"/>
    </row>
    <row r="11" spans="1:11" x14ac:dyDescent="0.2">
      <c r="B11" s="23">
        <v>0</v>
      </c>
      <c r="H11" s="24"/>
      <c r="K11" s="50"/>
    </row>
    <row r="12" spans="1:11" x14ac:dyDescent="0.2">
      <c r="B12" s="23">
        <f>LowUnit</f>
        <v>10000</v>
      </c>
      <c r="C12" s="24">
        <f>LowValue</f>
        <v>10</v>
      </c>
      <c r="D12" s="24">
        <f>HighValue</f>
        <v>20</v>
      </c>
      <c r="H12" s="24"/>
    </row>
    <row r="13" spans="1:11" x14ac:dyDescent="0.2">
      <c r="B13" s="23">
        <f>HighUnit</f>
        <v>20000</v>
      </c>
      <c r="C13" s="24">
        <f>C12</f>
        <v>10</v>
      </c>
      <c r="D13" s="24">
        <f>D12</f>
        <v>20</v>
      </c>
      <c r="H13" s="24"/>
    </row>
    <row r="14" spans="1:11" x14ac:dyDescent="0.2">
      <c r="B14" s="23">
        <f>B12+(B13-B12)*UnitLean/100</f>
        <v>15000</v>
      </c>
      <c r="E14" s="24">
        <f>C12+(D12-C12)*ValueLean/100</f>
        <v>15</v>
      </c>
      <c r="H14" s="24"/>
    </row>
    <row r="15" spans="1:11" x14ac:dyDescent="0.2">
      <c r="J15" s="58"/>
      <c r="K15" s="59"/>
    </row>
    <row r="22" spans="1:25" x14ac:dyDescent="0.2">
      <c r="B22" s="26">
        <f>B14*E14</f>
        <v>225000</v>
      </c>
    </row>
    <row r="23" spans="1:25" x14ac:dyDescent="0.2">
      <c r="R23" s="61"/>
    </row>
    <row r="24" spans="1:25" ht="6" customHeight="1" thickBot="1" x14ac:dyDescent="0.25">
      <c r="A24" s="7"/>
      <c r="B24" s="7"/>
      <c r="C24" s="7"/>
      <c r="D24" s="7"/>
      <c r="E24" s="7"/>
      <c r="F24" s="7"/>
      <c r="G24" s="7"/>
      <c r="H24" s="7"/>
    </row>
    <row r="25" spans="1:25" ht="27" thickTop="1" x14ac:dyDescent="0.3">
      <c r="A25" s="106" t="s">
        <v>41</v>
      </c>
      <c r="B25" s="106"/>
      <c r="C25" s="106"/>
      <c r="D25" s="106"/>
      <c r="E25" s="106"/>
      <c r="F25" s="106"/>
      <c r="G25" s="106"/>
      <c r="H25" s="106"/>
      <c r="L25" s="109" t="s">
        <v>74</v>
      </c>
      <c r="M25" s="110"/>
      <c r="N25" s="110"/>
      <c r="O25" s="110"/>
      <c r="P25" s="110"/>
      <c r="Q25" s="110"/>
      <c r="R25" s="111"/>
      <c r="S25" s="103" t="s">
        <v>81</v>
      </c>
      <c r="T25" s="104"/>
      <c r="U25" s="104"/>
      <c r="V25" s="104"/>
      <c r="W25" s="104"/>
      <c r="X25" s="104"/>
      <c r="Y25" s="105"/>
    </row>
    <row r="26" spans="1:25" s="19" customFormat="1" ht="26" x14ac:dyDescent="0.2">
      <c r="A26" s="19" t="s">
        <v>43</v>
      </c>
      <c r="B26" s="19" t="s">
        <v>42</v>
      </c>
      <c r="C26" s="19" t="s">
        <v>46</v>
      </c>
      <c r="D26" s="19" t="s">
        <v>9</v>
      </c>
      <c r="F26" s="19" t="s">
        <v>44</v>
      </c>
      <c r="H26" s="19" t="s">
        <v>45</v>
      </c>
      <c r="I26" s="19" t="s">
        <v>52</v>
      </c>
      <c r="J26" s="19" t="s">
        <v>49</v>
      </c>
      <c r="K26" s="19" t="s">
        <v>53</v>
      </c>
      <c r="L26" s="83" t="s">
        <v>75</v>
      </c>
      <c r="M26" s="84" t="s">
        <v>76</v>
      </c>
      <c r="N26" s="84" t="s">
        <v>71</v>
      </c>
      <c r="O26" s="84" t="s">
        <v>77</v>
      </c>
      <c r="P26" s="84" t="s">
        <v>70</v>
      </c>
      <c r="Q26" s="84" t="s">
        <v>83</v>
      </c>
      <c r="R26" s="93" t="s">
        <v>69</v>
      </c>
      <c r="S26" s="101" t="s">
        <v>85</v>
      </c>
      <c r="T26" s="102"/>
      <c r="U26" s="71" t="s">
        <v>89</v>
      </c>
      <c r="V26" s="71" t="s">
        <v>90</v>
      </c>
      <c r="W26" s="71" t="s">
        <v>86</v>
      </c>
      <c r="X26" s="71" t="s">
        <v>87</v>
      </c>
      <c r="Y26" s="72" t="s">
        <v>80</v>
      </c>
    </row>
    <row r="27" spans="1:25" x14ac:dyDescent="0.2">
      <c r="A27" s="28">
        <v>1</v>
      </c>
      <c r="B27" s="27" t="str">
        <f>'Instructions &amp; Input'!C36</f>
        <v>Cost 1</v>
      </c>
      <c r="C27" s="27">
        <f>'Instructions &amp; Input'!C37</f>
        <v>0</v>
      </c>
      <c r="D27" s="30">
        <f>'Instructions &amp; Input'!C40</f>
        <v>20000</v>
      </c>
      <c r="E27" s="27"/>
      <c r="F27" s="33">
        <f t="shared" ref="F27:F34" si="0">H27*I27-D27</f>
        <v>-91312.377500000002</v>
      </c>
      <c r="G27" s="30"/>
      <c r="H27" s="30">
        <f t="shared" ref="H27:H32" si="1">(B28=0)*(B27&lt;&gt;0)*ChartEV+F28</f>
        <v>-79235.975000000006</v>
      </c>
      <c r="I27" s="32">
        <f>'Instructions &amp; Input'!C39</f>
        <v>0.9</v>
      </c>
      <c r="J27" s="32">
        <f>IF(I27&gt;0,1-I27,"")</f>
        <v>9.9999999999999978E-2</v>
      </c>
      <c r="K27" s="82">
        <f>I27</f>
        <v>0.9</v>
      </c>
      <c r="L27" s="85">
        <f>(B27&lt;&gt;0)*(ChartEV*(IF($I$28&gt;0,$I$28,1)*IF($I$29&gt;0,$I$29,1)*IF($I$30&gt;0,$I$30,1)*IF($I$31&gt;0,$I$31,1)*IF($I$32&gt;0,$I$32,1)*IF($I$33&gt;0,$I$33,1)*IF($I$34&gt;0,$I$34,1)))</f>
        <v>39858.075000000012</v>
      </c>
      <c r="M27" s="86">
        <f t="shared" ref="M27:M34" si="2">(B27&lt;&gt;0)*(L27-SUM($D$27:$D$34))</f>
        <v>-140141.92499999999</v>
      </c>
      <c r="N27" s="87">
        <f>(B27&lt;&gt;0)*M27/SUM($D$27:$D$34)</f>
        <v>-0.7785662499999999</v>
      </c>
      <c r="O27" s="88">
        <f>L27+Q27-(D28*I28+(D29*PRODUCT(I28:I29))+(D30*PRODUCT(I28:I30))+(D31*PRODUCT(I28:I31))+(D32*PRODUCT(I28:I32))+(D33*PRODUCT(I28:I33)+D34*PRODUCT(I28:I34)))</f>
        <v>-81585.694999999992</v>
      </c>
      <c r="P27" s="87">
        <f>O27/(O27-L27)*-1</f>
        <v>-0.6717981087049586</v>
      </c>
      <c r="Q27" s="88">
        <f>(B27&lt;&gt;0)*D27*-1</f>
        <v>-20000</v>
      </c>
      <c r="R27" s="94">
        <f>IF($I$28&gt;0,$I$28,1)*IF($I$29&gt;0,$I$29,1)*IF($I$30&gt;0,$I$30,1)*IF($I$31&gt;0,$I$31,1)*IF($I$32&gt;0,$I$32,1)*IF($I$33&gt;0,$I$33,1)*IF($I$34&gt;0,$I$34,1)</f>
        <v>0.17714700000000005</v>
      </c>
      <c r="S27" s="73">
        <f>'Instructions &amp; Input'!C33</f>
        <v>43831</v>
      </c>
      <c r="T27" s="79">
        <f>IF('Instructions &amp; Input'!C41="","",'Instructions &amp; Input'!C41)</f>
        <v>43862</v>
      </c>
      <c r="U27" s="74">
        <f>IFERROR((1+'Instructions &amp; Input'!$C$34)^((S27-$S$27)/365)-1,0)</f>
        <v>0</v>
      </c>
      <c r="V27" s="74">
        <f>IFERROR((1+'Instructions &amp; Input'!$C$34)^((T27-$S$27)/365)-1,0)</f>
        <v>3.7454170148627508E-3</v>
      </c>
      <c r="W27" s="75">
        <f>-1*D27/(1+U27)</f>
        <v>-20000</v>
      </c>
      <c r="X27" s="75">
        <f>(B27&lt;&gt;0)*(B28=0)*ChartEV/(1+V27)</f>
        <v>0</v>
      </c>
      <c r="Y27" s="76">
        <f t="shared" ref="Y27:Y35" si="3">-1*D27+(B26&lt;&gt;0)*(B27=0)*ChartEV</f>
        <v>-20000</v>
      </c>
    </row>
    <row r="28" spans="1:25" x14ac:dyDescent="0.2">
      <c r="A28" s="28">
        <f>A27+1</f>
        <v>2</v>
      </c>
      <c r="B28" s="29" t="str">
        <f>'Instructions &amp; Input'!C43</f>
        <v>Cost 2</v>
      </c>
      <c r="C28" s="29">
        <f>'Instructions &amp; Input'!C44</f>
        <v>0</v>
      </c>
      <c r="D28" s="30">
        <f>'Instructions &amp; Input'!C47</f>
        <v>20000</v>
      </c>
      <c r="E28" s="27"/>
      <c r="F28" s="31">
        <f>H28*I28-D28</f>
        <v>-79235.975000000006</v>
      </c>
      <c r="G28" s="30"/>
      <c r="H28" s="30">
        <f t="shared" si="1"/>
        <v>-65817.75</v>
      </c>
      <c r="I28" s="32">
        <f>'Instructions &amp; Input'!C46</f>
        <v>0.9</v>
      </c>
      <c r="J28" s="32">
        <f t="shared" ref="J28:J34" si="4">IF(I28&gt;0,1-I28,"")</f>
        <v>9.9999999999999978E-2</v>
      </c>
      <c r="K28" s="82">
        <f t="shared" ref="K28:K34" si="5">I28*K27</f>
        <v>0.81</v>
      </c>
      <c r="L28" s="85">
        <f>(B28&lt;&gt;0)*(ChartEV*(IF($I$29&gt;0,$I$29,1)*IF($I$30&gt;0,$I$30,1)*IF($I$31&gt;0,$I$31,1)*IF($I$32&gt;0,$I$32,1)*IF($I$33&gt;0,$I$33,1)*IF($I$34&gt;0,$I$34,1)))</f>
        <v>44286.750000000007</v>
      </c>
      <c r="M28" s="86">
        <f t="shared" si="2"/>
        <v>-135713.25</v>
      </c>
      <c r="N28" s="87">
        <f t="shared" ref="N28:N34" si="6">(B28&lt;&gt;0)*M28/SUM($D$27:$D$34)</f>
        <v>-0.75396249999999998</v>
      </c>
      <c r="O28" s="88">
        <f>L28+Q28-(D29*I29+(D30*PRODUCT(I29:I30))+(D31*PRODUCT(I29:I31))+(D32*PRODUCT(I29:I32))+(D33*PRODUCT(I29:I33)+D34*PRODUCT(I29:I34)))</f>
        <v>-88428.549999999988</v>
      </c>
      <c r="P28" s="87">
        <f t="shared" ref="P28:P34" si="7">O28/(O28-L28)*-1</f>
        <v>-0.66630260414586706</v>
      </c>
      <c r="Q28" s="88">
        <f t="shared" ref="Q28:Q34" si="8">(B28&lt;&gt;0)*(Q27-D28)</f>
        <v>-40000</v>
      </c>
      <c r="R28" s="94">
        <f>IF($I$29&gt;0,$I$29,1)*IF($I$30&gt;0,$I$30,1)*IF($I$31&gt;0,$I$31,1)*IF($I$32&gt;0,$I$32,1)*IF($I$33&gt;0,$I$33,1)*IF($I$34&gt;0,$I$34,1)</f>
        <v>0.19683000000000003</v>
      </c>
      <c r="S28" s="73">
        <f>T27</f>
        <v>43862</v>
      </c>
      <c r="T28" s="79">
        <f>IF('Instructions &amp; Input'!C48="","",'Instructions &amp; Input'!C48)</f>
        <v>43891</v>
      </c>
      <c r="U28" s="74">
        <f>IFERROR((1+'Instructions &amp; Input'!$C$34)^((S28-$S$27)/365)-1,0)</f>
        <v>3.7454170148627508E-3</v>
      </c>
      <c r="V28" s="74">
        <f>IFERROR((1+'Instructions &amp; Input'!$C$34)^((T28-$S$27)/365)-1,0)</f>
        <v>7.2618929811529842E-3</v>
      </c>
      <c r="W28" s="75">
        <f t="shared" ref="W28:W33" si="9">-1*D28/(1+U28)</f>
        <v>-19925.371175770812</v>
      </c>
      <c r="X28" s="75">
        <f>(B28&lt;&gt;0)*(B29=0)*ChartEV/(1+V28)</f>
        <v>0</v>
      </c>
      <c r="Y28" s="76">
        <f t="shared" si="3"/>
        <v>-20000</v>
      </c>
    </row>
    <row r="29" spans="1:25" x14ac:dyDescent="0.2">
      <c r="A29" s="28">
        <f t="shared" ref="A29:A34" si="10">A28+1</f>
        <v>3</v>
      </c>
      <c r="B29" s="27" t="str">
        <f>'Instructions &amp; Input'!C50</f>
        <v>Cost 3</v>
      </c>
      <c r="C29" s="29">
        <f>'Instructions &amp; Input'!C51</f>
        <v>0</v>
      </c>
      <c r="D29" s="30">
        <f>'Instructions &amp; Input'!C54</f>
        <v>30000</v>
      </c>
      <c r="E29" s="27"/>
      <c r="F29" s="31">
        <f t="shared" si="0"/>
        <v>-65817.75</v>
      </c>
      <c r="G29" s="30"/>
      <c r="H29" s="30">
        <f t="shared" si="1"/>
        <v>-39797.5</v>
      </c>
      <c r="I29" s="32">
        <f>'Instructions &amp; Input'!C53</f>
        <v>0.9</v>
      </c>
      <c r="J29" s="32">
        <f t="shared" si="4"/>
        <v>9.9999999999999978E-2</v>
      </c>
      <c r="K29" s="82">
        <f t="shared" si="5"/>
        <v>0.72900000000000009</v>
      </c>
      <c r="L29" s="85">
        <f>(B29&lt;&gt;0)*(ChartEV*(IF($I$30&gt;0,$I$30,1)*IF($I$31&gt;0,$I$31,1)*IF($I$32&gt;0,$I$32,1)*IF($I$33&gt;0,$I$33,1)*IF($I$34&gt;0,$I$34,1)))</f>
        <v>49207.500000000007</v>
      </c>
      <c r="M29" s="86">
        <f t="shared" si="2"/>
        <v>-130792.5</v>
      </c>
      <c r="N29" s="87">
        <f t="shared" si="6"/>
        <v>-0.72662499999999997</v>
      </c>
      <c r="O29" s="88">
        <f>L29+Q29-(D30*I30+(D31*PRODUCT(I30:I31))+(D32*PRODUCT(I30:I32))+(D33*PRODUCT(I30:I33))+(D34*PRODUCT(I30:I34)))</f>
        <v>-93809.5</v>
      </c>
      <c r="P29" s="87">
        <f t="shared" si="7"/>
        <v>-0.65593251151960952</v>
      </c>
      <c r="Q29" s="88">
        <f>(B29&lt;&gt;0)*(Q28-D29)</f>
        <v>-70000</v>
      </c>
      <c r="R29" s="94">
        <f>IF($I$30&gt;0,$I$30,1)*IF($I$31&gt;0,$I$31,1)*IF($I$32&gt;0,$I$32,1)*IF($I$33&gt;0,$I$33,1)*IF($I$34&gt;0,$I$34,1)</f>
        <v>0.21870000000000003</v>
      </c>
      <c r="S29" s="73">
        <f t="shared" ref="S29:S33" si="11">T28</f>
        <v>43891</v>
      </c>
      <c r="T29" s="79">
        <f>IF('Instructions &amp; Input'!C55="","",'Instructions &amp; Input'!C55)</f>
        <v>43922</v>
      </c>
      <c r="U29" s="74">
        <f>IFERROR((1+'Instructions &amp; Input'!$C$34)^((S29-$S$27)/365)-1,0)</f>
        <v>7.2618929811529842E-3</v>
      </c>
      <c r="V29" s="74">
        <f>IFERROR((1+'Instructions &amp; Input'!$C$34)^((T29-$S$27)/365)-1,0)</f>
        <v>1.1034508813547284E-2</v>
      </c>
      <c r="W29" s="75">
        <f t="shared" si="9"/>
        <v>-29783.713857386378</v>
      </c>
      <c r="X29" s="75">
        <f t="shared" ref="X29:X31" si="12">(B29&lt;&gt;0)*(B30=0)*ChartEV/(1+V29)</f>
        <v>0</v>
      </c>
      <c r="Y29" s="76">
        <f t="shared" si="3"/>
        <v>-30000</v>
      </c>
    </row>
    <row r="30" spans="1:25" x14ac:dyDescent="0.2">
      <c r="A30" s="28">
        <f t="shared" si="10"/>
        <v>4</v>
      </c>
      <c r="B30" s="29" t="str">
        <f>'Instructions &amp; Input'!C57</f>
        <v>Cost 4</v>
      </c>
      <c r="C30" s="29">
        <f>'Instructions &amp; Input'!C58</f>
        <v>0</v>
      </c>
      <c r="D30" s="30">
        <f>'Instructions &amp; Input'!C61</f>
        <v>40000</v>
      </c>
      <c r="E30" s="27"/>
      <c r="F30" s="31">
        <f>H30*I30-D30</f>
        <v>-39797.5</v>
      </c>
      <c r="G30" s="30"/>
      <c r="H30" s="30">
        <f t="shared" si="1"/>
        <v>225</v>
      </c>
      <c r="I30" s="32">
        <f>'Instructions &amp; Input'!C60</f>
        <v>0.9</v>
      </c>
      <c r="J30" s="32">
        <f t="shared" si="4"/>
        <v>9.9999999999999978E-2</v>
      </c>
      <c r="K30" s="82">
        <f t="shared" si="5"/>
        <v>0.65610000000000013</v>
      </c>
      <c r="L30" s="85">
        <f>(B30&lt;&gt;0)*(ChartEV*(IF($I$31&gt;0,$I$31,1)*IF($I$32&gt;0,$I$32,1)*IF($I$33&gt;0,$I$33,1)*IF($I$34&gt;0,$I$34,1)))</f>
        <v>54675.000000000007</v>
      </c>
      <c r="M30" s="86">
        <f t="shared" si="2"/>
        <v>-125325</v>
      </c>
      <c r="N30" s="87">
        <f t="shared" si="6"/>
        <v>-0.69625000000000004</v>
      </c>
      <c r="O30" s="88">
        <f>L30+Q30-(D31*I31+D32*PRODUCT(I31:I32)+D33*PRODUCT(I31:I33)+D34*PRODUCT(I31:I34))</f>
        <v>-96455</v>
      </c>
      <c r="P30" s="87">
        <f t="shared" si="7"/>
        <v>-0.63822536888771253</v>
      </c>
      <c r="Q30" s="88">
        <f t="shared" si="8"/>
        <v>-110000</v>
      </c>
      <c r="R30" s="94">
        <f>IF($I$31&gt;0,$I$31,1)*IF($I$32&gt;0,$I$32,1)*IF($I$33&gt;0,$I$33,1)*IF($I$34&gt;0,$I$34,1)</f>
        <v>0.24300000000000002</v>
      </c>
      <c r="S30" s="73">
        <f t="shared" si="11"/>
        <v>43922</v>
      </c>
      <c r="T30" s="79">
        <f>IF('Instructions &amp; Input'!C62="","",'Instructions &amp; Input'!C62)</f>
        <v>43983</v>
      </c>
      <c r="U30" s="74">
        <f>IFERROR((1+'Instructions &amp; Input'!$C$34)^((S30-$S$27)/365)-1,0)</f>
        <v>1.1034508813547284E-2</v>
      </c>
      <c r="V30" s="74">
        <f>IFERROR((1+'Instructions &amp; Input'!$C$34)^((T30-$S$27)/365)-1,0)</f>
        <v>1.8499350932272618E-2</v>
      </c>
      <c r="W30" s="75">
        <f t="shared" si="9"/>
        <v>-39563.436906758157</v>
      </c>
      <c r="X30" s="75">
        <f>(B30&lt;&gt;0)*(B31=0)*ChartEV/(1+V30)</f>
        <v>0</v>
      </c>
      <c r="Y30" s="76">
        <f t="shared" si="3"/>
        <v>-40000</v>
      </c>
    </row>
    <row r="31" spans="1:25" x14ac:dyDescent="0.2">
      <c r="A31" s="28">
        <f t="shared" si="10"/>
        <v>5</v>
      </c>
      <c r="B31" s="27" t="str">
        <f>'Instructions &amp; Input'!C64</f>
        <v>Cost 5</v>
      </c>
      <c r="C31" s="29">
        <f>'Instructions &amp; Input'!C65</f>
        <v>0</v>
      </c>
      <c r="D31" s="30">
        <f>'Instructions &amp; Input'!C68</f>
        <v>30000</v>
      </c>
      <c r="E31" s="27"/>
      <c r="F31" s="31">
        <f>H31*I31-D31</f>
        <v>225</v>
      </c>
      <c r="G31" s="30"/>
      <c r="H31" s="30">
        <f t="shared" si="1"/>
        <v>40300</v>
      </c>
      <c r="I31" s="32">
        <f>'Instructions &amp; Input'!C67</f>
        <v>0.75</v>
      </c>
      <c r="J31" s="32">
        <f t="shared" si="4"/>
        <v>0.25</v>
      </c>
      <c r="K31" s="82">
        <f t="shared" si="5"/>
        <v>0.4920750000000001</v>
      </c>
      <c r="L31" s="85">
        <f>(B31&lt;&gt;0)*(ChartEV*(IF($I$32&gt;0,$I$32,1)*IF($I$33&gt;0,$I$33,1)*IF($I$34&gt;0,$I$34,1)))</f>
        <v>72900.000000000015</v>
      </c>
      <c r="M31" s="86">
        <f t="shared" si="2"/>
        <v>-107099.99999999999</v>
      </c>
      <c r="N31" s="87">
        <f t="shared" si="6"/>
        <v>-0.59499999999999997</v>
      </c>
      <c r="O31" s="88">
        <f>L31+Q31-(D32*I32+(D33*PRODUCT(I32:I33))+(D34*PRODUCT(I32:I34)))</f>
        <v>-91939.999999999985</v>
      </c>
      <c r="P31" s="87">
        <f t="shared" si="7"/>
        <v>-0.55775297257947087</v>
      </c>
      <c r="Q31" s="88">
        <f t="shared" si="8"/>
        <v>-140000</v>
      </c>
      <c r="R31" s="94">
        <f>IF($I$32&gt;0,$I$32,1)*IF($I$33&gt;0,$I$33,1)*IF($I$34&gt;0,$I$34,1)</f>
        <v>0.32400000000000007</v>
      </c>
      <c r="S31" s="73">
        <f t="shared" si="11"/>
        <v>43983</v>
      </c>
      <c r="T31" s="79">
        <f>IF('Instructions &amp; Input'!C69="","",'Instructions &amp; Input'!C69)</f>
        <v>44044</v>
      </c>
      <c r="U31" s="74">
        <f>IFERROR((1+'Instructions &amp; Input'!$C$34)^((S31-$S$27)/365)-1,0)</f>
        <v>1.8499350932272618E-2</v>
      </c>
      <c r="V31" s="74">
        <f>IFERROR((1+'Instructions &amp; Input'!$C$34)^((T31-$S$27)/365)-1,0)</f>
        <v>2.6019308744252179E-2</v>
      </c>
      <c r="W31" s="75">
        <f t="shared" si="9"/>
        <v>-29455.099772562266</v>
      </c>
      <c r="X31" s="75">
        <f t="shared" si="12"/>
        <v>0</v>
      </c>
      <c r="Y31" s="76">
        <f t="shared" si="3"/>
        <v>-30000</v>
      </c>
    </row>
    <row r="32" spans="1:25" x14ac:dyDescent="0.2">
      <c r="A32" s="28">
        <f t="shared" si="10"/>
        <v>6</v>
      </c>
      <c r="B32" s="29" t="str">
        <f>'Instructions &amp; Input'!C71</f>
        <v>Cost 6</v>
      </c>
      <c r="C32" s="29">
        <f>'Instructions &amp; Input'!C72</f>
        <v>0</v>
      </c>
      <c r="D32" s="30">
        <f>'Instructions &amp; Input'!C75</f>
        <v>20000</v>
      </c>
      <c r="E32" s="27"/>
      <c r="F32" s="31">
        <f>H32*I32-D32</f>
        <v>40300</v>
      </c>
      <c r="G32" s="30"/>
      <c r="H32" s="30">
        <f t="shared" si="1"/>
        <v>67000</v>
      </c>
      <c r="I32" s="32">
        <f>'Instructions &amp; Input'!C74</f>
        <v>0.9</v>
      </c>
      <c r="J32" s="32">
        <f t="shared" si="4"/>
        <v>9.9999999999999978E-2</v>
      </c>
      <c r="K32" s="82">
        <f t="shared" si="5"/>
        <v>0.44286750000000008</v>
      </c>
      <c r="L32" s="85">
        <f>(B32&lt;&gt;0)*(ChartEV*IF($I$33&gt;0,$I$33,1)*IF($I$34&gt;0,$I$34,1))</f>
        <v>81000</v>
      </c>
      <c r="M32" s="86">
        <f t="shared" si="2"/>
        <v>-99000</v>
      </c>
      <c r="N32" s="87">
        <f t="shared" si="6"/>
        <v>-0.55000000000000004</v>
      </c>
      <c r="O32" s="88">
        <f>L32+Q32-(D33*I33+($D$34*PRODUCT(I33:$I$34)))</f>
        <v>-86600</v>
      </c>
      <c r="P32" s="87">
        <f t="shared" si="7"/>
        <v>-0.51670644391408116</v>
      </c>
      <c r="Q32" s="88">
        <f t="shared" si="8"/>
        <v>-160000</v>
      </c>
      <c r="R32" s="94">
        <f>IF($I$33&gt;0,$I$33,1)*IF($I$34&gt;0,$I$34,1)</f>
        <v>0.36000000000000004</v>
      </c>
      <c r="S32" s="73">
        <f t="shared" si="11"/>
        <v>44044</v>
      </c>
      <c r="T32" s="79">
        <f>IF('Instructions &amp; Input'!C76="","",'Instructions &amp; Input'!C76)</f>
        <v>44075</v>
      </c>
      <c r="U32" s="74">
        <f>IFERROR((1+'Instructions &amp; Input'!$C$34)^((S32-$S$27)/365)-1,0)</f>
        <v>2.6019308744252179E-2</v>
      </c>
      <c r="V32" s="74">
        <f>IFERROR((1+'Instructions &amp; Input'!$C$34)^((T32-$S$27)/365)-1,0)</f>
        <v>2.9862178920800675E-2</v>
      </c>
      <c r="W32" s="75">
        <f t="shared" si="9"/>
        <v>-19492.810544158328</v>
      </c>
      <c r="X32" s="75">
        <f>(B32&lt;&gt;0)*(B33=0)*ChartEV/(1+V32)</f>
        <v>0</v>
      </c>
      <c r="Y32" s="76">
        <f t="shared" si="3"/>
        <v>-20000</v>
      </c>
    </row>
    <row r="33" spans="1:25" x14ac:dyDescent="0.2">
      <c r="A33" s="28">
        <f t="shared" si="10"/>
        <v>7</v>
      </c>
      <c r="B33" s="27" t="str">
        <f>'Instructions &amp; Input'!C78</f>
        <v>Cost 7</v>
      </c>
      <c r="C33" s="29">
        <f>'Instructions &amp; Input'!C79</f>
        <v>0</v>
      </c>
      <c r="D33" s="30">
        <f>'Instructions &amp; Input'!C82</f>
        <v>10000</v>
      </c>
      <c r="E33" s="27"/>
      <c r="F33" s="31">
        <f>H33*I33-D33</f>
        <v>67000</v>
      </c>
      <c r="G33" s="30"/>
      <c r="H33" s="30">
        <f t="shared" ref="H33" si="13">(B34=0)*(B33&lt;&gt;0)*ChartEV+F34</f>
        <v>192500</v>
      </c>
      <c r="I33" s="32">
        <f>'Instructions &amp; Input'!C81</f>
        <v>0.4</v>
      </c>
      <c r="J33" s="32">
        <f t="shared" si="4"/>
        <v>0.6</v>
      </c>
      <c r="K33" s="82">
        <f t="shared" si="5"/>
        <v>0.17714700000000005</v>
      </c>
      <c r="L33" s="85">
        <f>(B33&lt;&gt;0)*(ChartEV*IF($I$34&gt;0,$I$34,1))</f>
        <v>202500</v>
      </c>
      <c r="M33" s="86">
        <f t="shared" si="2"/>
        <v>22500</v>
      </c>
      <c r="N33" s="87">
        <f t="shared" si="6"/>
        <v>0.125</v>
      </c>
      <c r="O33" s="88">
        <f>L33+Q33+I34*D34</f>
        <v>41500</v>
      </c>
      <c r="P33" s="87">
        <f t="shared" si="7"/>
        <v>0.25776397515527949</v>
      </c>
      <c r="Q33" s="88">
        <f t="shared" si="8"/>
        <v>-170000</v>
      </c>
      <c r="R33" s="94">
        <f>IF($I$34&gt;0,$I$34,1)</f>
        <v>0.9</v>
      </c>
      <c r="S33" s="73">
        <f t="shared" si="11"/>
        <v>44075</v>
      </c>
      <c r="T33" s="79">
        <f>IF('Instructions &amp; Input'!C83="","",'Instructions &amp; Input'!C83)</f>
        <v>44228</v>
      </c>
      <c r="U33" s="74">
        <f>IFERROR((1+'Instructions &amp; Input'!$C$34)^((S33-$S$27)/365)-1,0)</f>
        <v>2.9862178920800675E-2</v>
      </c>
      <c r="V33" s="74">
        <f>IFERROR((1+'Instructions &amp; Input'!$C$34)^((T33-$S$27)/365)-1,0)</f>
        <v>4.9040461354910692E-2</v>
      </c>
      <c r="W33" s="75">
        <f t="shared" si="9"/>
        <v>-9710.037133783344</v>
      </c>
      <c r="X33" s="75">
        <f>(B33&lt;&gt;0)*(B34=0)*ChartEV/(1+V33)</f>
        <v>0</v>
      </c>
      <c r="Y33" s="76">
        <f t="shared" si="3"/>
        <v>-10000</v>
      </c>
    </row>
    <row r="34" spans="1:25" ht="16" thickBot="1" x14ac:dyDescent="0.25">
      <c r="A34" s="28">
        <f t="shared" si="10"/>
        <v>8</v>
      </c>
      <c r="B34" s="29" t="str">
        <f>'Instructions &amp; Input'!C85</f>
        <v>Cost 8</v>
      </c>
      <c r="C34" s="29">
        <f>'Instructions &amp; Input'!C86</f>
        <v>0</v>
      </c>
      <c r="D34" s="30">
        <f>'Instructions &amp; Input'!C89</f>
        <v>10000</v>
      </c>
      <c r="E34" s="27"/>
      <c r="F34" s="31">
        <f t="shared" si="0"/>
        <v>192500</v>
      </c>
      <c r="G34" s="30"/>
      <c r="H34" s="30">
        <f>(B35=0)*(B34&lt;&gt;0)*ChartEV+F35</f>
        <v>225000</v>
      </c>
      <c r="I34" s="32">
        <f>'Instructions &amp; Input'!C88</f>
        <v>0.9</v>
      </c>
      <c r="J34" s="32">
        <f t="shared" si="4"/>
        <v>9.9999999999999978E-2</v>
      </c>
      <c r="K34" s="82">
        <f t="shared" si="5"/>
        <v>0.15943230000000005</v>
      </c>
      <c r="L34" s="89">
        <f>(B34&lt;&gt;0)*ChartEV</f>
        <v>225000</v>
      </c>
      <c r="M34" s="90">
        <f t="shared" si="2"/>
        <v>45000</v>
      </c>
      <c r="N34" s="91">
        <f t="shared" si="6"/>
        <v>0.25</v>
      </c>
      <c r="O34" s="92">
        <f>L34+Q34</f>
        <v>45000</v>
      </c>
      <c r="P34" s="91">
        <f t="shared" si="7"/>
        <v>0.25</v>
      </c>
      <c r="Q34" s="92">
        <f t="shared" si="8"/>
        <v>-180000</v>
      </c>
      <c r="R34" s="95">
        <v>1</v>
      </c>
      <c r="S34" s="73">
        <f>T33</f>
        <v>44228</v>
      </c>
      <c r="T34" s="79">
        <f>IF('Instructions &amp; Input'!C90="","",'Instructions &amp; Input'!C90)</f>
        <v>44348</v>
      </c>
      <c r="U34" s="74">
        <f>IFERROR((1+'Instructions &amp; Input'!$C$34)^((S34-$S$27)/365)-1,0)</f>
        <v>4.9040461354910692E-2</v>
      </c>
      <c r="V34" s="74">
        <f>IFERROR((1+'Instructions &amp; Input'!$C$34)^((T34-$S$27)/365)-1,0)</f>
        <v>6.4331821724224802E-2</v>
      </c>
      <c r="W34" s="75">
        <f>-1*D34/(1+U34)</f>
        <v>-9532.5207829298452</v>
      </c>
      <c r="X34" s="75">
        <f>(B34&lt;&gt;0)*(B35=0)*ChartEV/(1+V34)</f>
        <v>211400.23760212155</v>
      </c>
      <c r="Y34" s="76">
        <f t="shared" si="3"/>
        <v>-10000</v>
      </c>
    </row>
    <row r="35" spans="1:25" ht="17" thickTop="1" thickBot="1" x14ac:dyDescent="0.25">
      <c r="M35" s="50"/>
      <c r="N35" s="49"/>
      <c r="O35" s="50"/>
      <c r="P35" s="49"/>
      <c r="Q35" s="50"/>
      <c r="R35" s="97">
        <v>1</v>
      </c>
      <c r="S35" s="96">
        <f>T34</f>
        <v>44348</v>
      </c>
      <c r="T35" s="81"/>
      <c r="U35" s="81"/>
      <c r="V35" s="77"/>
      <c r="W35" s="81"/>
      <c r="X35" s="81"/>
      <c r="Y35" s="80">
        <f t="shared" si="3"/>
        <v>225000</v>
      </c>
    </row>
    <row r="36" spans="1:25" ht="16" thickTop="1" x14ac:dyDescent="0.2">
      <c r="N36" s="51"/>
      <c r="P36" s="51"/>
      <c r="W36" s="60">
        <f>SUM(W27:X34)</f>
        <v>33937.247428772418</v>
      </c>
      <c r="X36" s="60"/>
      <c r="Y36" t="s">
        <v>78</v>
      </c>
    </row>
    <row r="37" spans="1:25" x14ac:dyDescent="0.2">
      <c r="W37" s="67">
        <f>'Instructions &amp; Input'!$C$34</f>
        <v>4.4999999999999998E-2</v>
      </c>
      <c r="X37" s="67"/>
      <c r="Y37" t="s">
        <v>79</v>
      </c>
    </row>
    <row r="38" spans="1:25" x14ac:dyDescent="0.2">
      <c r="W38" s="68">
        <f>IFERROR(XIRR(Y27:Y35,S27:S35),IFERROR(XIRR(Y27:Y34,S27:S34),IFERROR(XIRR(Y27:Y33,S27:S33),IFERROR(XIRR(Y27:Y32,S27:S32),IFERROR(XIRR(Y27:Y31,S27:S31),IFERROR(XIRR(Y27:Y30,S27:S30),iferro(XIRR(Y27:Y29,S27:S29),IFERROR(XIRR(Y27:Y28,S27:S28),"Wrong Input"))))))))</f>
        <v>0.22501582503318787</v>
      </c>
      <c r="X38" s="68"/>
      <c r="Y38" t="s">
        <v>82</v>
      </c>
    </row>
    <row r="39" spans="1:25" x14ac:dyDescent="0.2">
      <c r="A39" t="str">
        <f t="shared" ref="A39:A48" si="14">S26</f>
        <v>Date
Start                     Complete</v>
      </c>
      <c r="B39" s="66" t="str">
        <f>R26</f>
        <v>P　(Success)</v>
      </c>
      <c r="C39" t="str">
        <f>Y26</f>
        <v>Non discounted CF</v>
      </c>
      <c r="R39" s="68"/>
      <c r="S39" s="67"/>
      <c r="T39" s="67"/>
      <c r="U39" s="67"/>
      <c r="V39" s="68"/>
    </row>
    <row r="40" spans="1:25" x14ac:dyDescent="0.2">
      <c r="A40" s="70">
        <f t="shared" si="14"/>
        <v>43831</v>
      </c>
      <c r="B40" s="66">
        <f t="shared" ref="B40:B45" si="15">IF(A40="","",R27)</f>
        <v>0.17714700000000005</v>
      </c>
      <c r="C40">
        <f t="shared" ref="C40:C45" si="16">IF(A40="","",Y27)</f>
        <v>-20000</v>
      </c>
      <c r="O40" s="70"/>
    </row>
    <row r="41" spans="1:25" x14ac:dyDescent="0.2">
      <c r="A41" s="70">
        <f t="shared" si="14"/>
        <v>43862</v>
      </c>
      <c r="B41" s="66">
        <f t="shared" si="15"/>
        <v>0.19683000000000003</v>
      </c>
      <c r="C41">
        <f t="shared" si="16"/>
        <v>-20000</v>
      </c>
      <c r="O41" s="70"/>
    </row>
    <row r="42" spans="1:25" x14ac:dyDescent="0.2">
      <c r="A42" s="70">
        <f t="shared" si="14"/>
        <v>43891</v>
      </c>
      <c r="B42" s="66">
        <f t="shared" si="15"/>
        <v>0.21870000000000003</v>
      </c>
      <c r="C42">
        <f t="shared" si="16"/>
        <v>-30000</v>
      </c>
      <c r="O42" s="70"/>
    </row>
    <row r="43" spans="1:25" x14ac:dyDescent="0.2">
      <c r="A43" s="70">
        <f t="shared" si="14"/>
        <v>43922</v>
      </c>
      <c r="B43" s="66">
        <f t="shared" si="15"/>
        <v>0.24300000000000002</v>
      </c>
      <c r="C43">
        <f t="shared" si="16"/>
        <v>-40000</v>
      </c>
      <c r="O43" s="70"/>
    </row>
    <row r="44" spans="1:25" x14ac:dyDescent="0.2">
      <c r="A44" s="70">
        <f t="shared" si="14"/>
        <v>43983</v>
      </c>
      <c r="B44" s="66">
        <f t="shared" si="15"/>
        <v>0.32400000000000007</v>
      </c>
      <c r="C44">
        <f t="shared" si="16"/>
        <v>-30000</v>
      </c>
      <c r="O44" s="70"/>
    </row>
    <row r="45" spans="1:25" x14ac:dyDescent="0.2">
      <c r="A45" s="70">
        <f t="shared" si="14"/>
        <v>44044</v>
      </c>
      <c r="B45" s="66">
        <f t="shared" si="15"/>
        <v>0.36000000000000004</v>
      </c>
      <c r="C45">
        <f t="shared" si="16"/>
        <v>-20000</v>
      </c>
      <c r="O45" s="70"/>
    </row>
    <row r="46" spans="1:25" x14ac:dyDescent="0.2">
      <c r="A46" s="70">
        <f t="shared" si="14"/>
        <v>44075</v>
      </c>
      <c r="B46" s="66">
        <f>IF(A46="","",R33)</f>
        <v>0.9</v>
      </c>
      <c r="C46">
        <f>IF(A46="","",Y33)</f>
        <v>-10000</v>
      </c>
      <c r="O46" s="70"/>
    </row>
    <row r="47" spans="1:25" x14ac:dyDescent="0.2">
      <c r="A47" s="70">
        <f t="shared" si="14"/>
        <v>44228</v>
      </c>
      <c r="B47" s="66">
        <f t="shared" ref="B47:B48" si="17">IF(A47="","",R34)</f>
        <v>1</v>
      </c>
      <c r="C47">
        <f t="shared" ref="C47:C48" si="18">IF(A47="","",Y34)</f>
        <v>-10000</v>
      </c>
      <c r="O47" s="70"/>
    </row>
    <row r="48" spans="1:25" x14ac:dyDescent="0.2">
      <c r="A48" s="70">
        <f t="shared" si="14"/>
        <v>44348</v>
      </c>
      <c r="B48" s="66">
        <f t="shared" si="17"/>
        <v>1</v>
      </c>
      <c r="C48">
        <f t="shared" si="18"/>
        <v>225000</v>
      </c>
      <c r="O48" s="70"/>
    </row>
  </sheetData>
  <sheetProtection formatCells="0" formatColumns="0" formatRows="0"/>
  <mergeCells count="6">
    <mergeCell ref="S26:T26"/>
    <mergeCell ref="S25:Y25"/>
    <mergeCell ref="A25:H25"/>
    <mergeCell ref="A7:D7"/>
    <mergeCell ref="F7:G7"/>
    <mergeCell ref="L25:R25"/>
  </mergeCells>
  <hyperlinks>
    <hyperlink ref="A3" r:id="rId1" xr:uid="{00000000-0004-0000-01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Instructions &amp; Input</vt:lpstr>
      <vt:lpstr>Output</vt:lpstr>
      <vt:lpstr>ChartEV</vt:lpstr>
      <vt:lpstr>HighUnit</vt:lpstr>
      <vt:lpstr>HighValue</vt:lpstr>
      <vt:lpstr>LowUnit</vt:lpstr>
      <vt:lpstr>LowValue</vt:lpstr>
      <vt:lpstr>Name</vt:lpstr>
      <vt:lpstr>UnitLabel</vt:lpstr>
      <vt:lpstr>UnitLean</vt:lpstr>
      <vt:lpstr>ValueLean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dc:creator>
  <cp:lastModifiedBy>Sean Ammirati</cp:lastModifiedBy>
  <cp:lastPrinted>2020-08-04T15:29:39Z</cp:lastPrinted>
  <dcterms:created xsi:type="dcterms:W3CDTF">2017-07-14T00:03:31Z</dcterms:created>
  <dcterms:modified xsi:type="dcterms:W3CDTF">2022-03-29T23:36:40Z</dcterms:modified>
</cp:coreProperties>
</file>